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инф. на 09.12" sheetId="5" r:id="rId1"/>
  </sheets>
  <definedNames>
    <definedName name="_xlnm.Print_Area" localSheetId="0">'инф. на 09.12'!$A$1:$N$254</definedName>
  </definedNames>
  <calcPr calcId="162913"/>
</workbook>
</file>

<file path=xl/calcChain.xml><?xml version="1.0" encoding="utf-8"?>
<calcChain xmlns="http://schemas.openxmlformats.org/spreadsheetml/2006/main">
  <c r="K40" i="5" l="1"/>
  <c r="K50" i="5" l="1"/>
  <c r="K45" i="5"/>
  <c r="C101" i="5"/>
  <c r="C100" i="5"/>
  <c r="K97" i="5"/>
  <c r="C99" i="5"/>
  <c r="C98" i="5"/>
  <c r="M97" i="5"/>
  <c r="L97" i="5"/>
  <c r="J97" i="5"/>
  <c r="H97" i="5"/>
  <c r="G97" i="5"/>
  <c r="F97" i="5"/>
  <c r="E97" i="5"/>
  <c r="D97" i="5"/>
  <c r="K89" i="5"/>
  <c r="I97" i="5" l="1"/>
  <c r="C97" i="5" s="1"/>
  <c r="K94" i="5"/>
  <c r="K116" i="5" l="1"/>
  <c r="K142" i="5"/>
  <c r="K135" i="5"/>
  <c r="K198" i="5"/>
  <c r="K193" i="5"/>
  <c r="K167" i="5"/>
  <c r="K161" i="5"/>
  <c r="K156" i="5"/>
  <c r="K114" i="5"/>
  <c r="K80" i="5"/>
  <c r="K73" i="5"/>
  <c r="K62" i="5"/>
  <c r="K60" i="5"/>
  <c r="K55" i="5"/>
  <c r="K37" i="5"/>
  <c r="K35" i="5"/>
  <c r="K190" i="5" l="1"/>
  <c r="K188" i="5"/>
  <c r="C232" i="5"/>
  <c r="C231" i="5"/>
  <c r="C230" i="5"/>
  <c r="C229" i="5"/>
  <c r="M228" i="5"/>
  <c r="L228" i="5"/>
  <c r="K228" i="5"/>
  <c r="J228" i="5"/>
  <c r="I228" i="5"/>
  <c r="H228" i="5"/>
  <c r="G228" i="5"/>
  <c r="F228" i="5"/>
  <c r="E228" i="5"/>
  <c r="D228" i="5"/>
  <c r="C228" i="5" s="1"/>
  <c r="C227" i="5"/>
  <c r="C226" i="5"/>
  <c r="C225" i="5"/>
  <c r="C224" i="5"/>
  <c r="M223" i="5"/>
  <c r="L223" i="5"/>
  <c r="K223" i="5"/>
  <c r="J223" i="5"/>
  <c r="I223" i="5"/>
  <c r="H223" i="5"/>
  <c r="G223" i="5"/>
  <c r="F223" i="5"/>
  <c r="E223" i="5"/>
  <c r="D223" i="5"/>
  <c r="C223" i="5" s="1"/>
  <c r="J63" i="5"/>
  <c r="J198" i="5"/>
  <c r="J214" i="5"/>
  <c r="J193" i="5"/>
  <c r="J188" i="5" s="1"/>
  <c r="J197" i="5"/>
  <c r="J167" i="5"/>
  <c r="J142" i="5"/>
  <c r="J114" i="5"/>
  <c r="J95" i="5"/>
  <c r="J94" i="5"/>
  <c r="J89" i="5"/>
  <c r="J55" i="5"/>
  <c r="L188" i="5" l="1"/>
  <c r="M188" i="5"/>
  <c r="C222" i="5"/>
  <c r="C221" i="5"/>
  <c r="C220" i="5"/>
  <c r="C219" i="5"/>
  <c r="M218" i="5"/>
  <c r="L218" i="5"/>
  <c r="K218" i="5"/>
  <c r="J218" i="5"/>
  <c r="I218" i="5"/>
  <c r="H218" i="5"/>
  <c r="G218" i="5"/>
  <c r="F218" i="5"/>
  <c r="E218" i="5"/>
  <c r="D218" i="5"/>
  <c r="L192" i="5"/>
  <c r="M192" i="5"/>
  <c r="L160" i="5"/>
  <c r="M160" i="5"/>
  <c r="L155" i="5"/>
  <c r="M155" i="5"/>
  <c r="L139" i="5"/>
  <c r="M139" i="5"/>
  <c r="L134" i="5"/>
  <c r="M134" i="5"/>
  <c r="K134" i="5"/>
  <c r="M82" i="5"/>
  <c r="L31" i="5"/>
  <c r="L25" i="5"/>
  <c r="L39" i="5"/>
  <c r="M39" i="5"/>
  <c r="K39" i="5"/>
  <c r="C193" i="5"/>
  <c r="C194" i="5"/>
  <c r="C195" i="5"/>
  <c r="C196" i="5"/>
  <c r="C198" i="5"/>
  <c r="C199" i="5"/>
  <c r="C200" i="5"/>
  <c r="C201" i="5"/>
  <c r="C202" i="5"/>
  <c r="C204" i="5"/>
  <c r="C205" i="5"/>
  <c r="C206" i="5"/>
  <c r="C207" i="5"/>
  <c r="C209" i="5"/>
  <c r="C210" i="5"/>
  <c r="C211" i="5"/>
  <c r="C212" i="5"/>
  <c r="C214" i="5"/>
  <c r="C215" i="5"/>
  <c r="C216" i="5"/>
  <c r="C217" i="5"/>
  <c r="C157" i="5"/>
  <c r="C158" i="5"/>
  <c r="C159" i="5"/>
  <c r="C163" i="5"/>
  <c r="C165" i="5"/>
  <c r="C168" i="5"/>
  <c r="C169" i="5"/>
  <c r="C170" i="5"/>
  <c r="C172" i="5"/>
  <c r="C173" i="5"/>
  <c r="C174" i="5"/>
  <c r="C175" i="5"/>
  <c r="C177" i="5"/>
  <c r="C178" i="5"/>
  <c r="C179" i="5"/>
  <c r="C180" i="5"/>
  <c r="C136" i="5"/>
  <c r="C137" i="5"/>
  <c r="C138" i="5"/>
  <c r="C140" i="5"/>
  <c r="C141" i="5"/>
  <c r="C143" i="5"/>
  <c r="C110" i="5"/>
  <c r="C112" i="5"/>
  <c r="C115" i="5"/>
  <c r="C117" i="5"/>
  <c r="C120" i="5"/>
  <c r="C121" i="5"/>
  <c r="C122" i="5"/>
  <c r="C105" i="5"/>
  <c r="C107" i="5"/>
  <c r="C78" i="5"/>
  <c r="C79" i="5"/>
  <c r="C81" i="5"/>
  <c r="C83" i="5"/>
  <c r="C84" i="5"/>
  <c r="C86" i="5"/>
  <c r="C88" i="5"/>
  <c r="C90" i="5"/>
  <c r="C91" i="5"/>
  <c r="C93" i="5"/>
  <c r="C95" i="5"/>
  <c r="C96" i="5"/>
  <c r="C63" i="5"/>
  <c r="C64" i="5"/>
  <c r="C66" i="5"/>
  <c r="C68" i="5"/>
  <c r="C69" i="5"/>
  <c r="C71" i="5"/>
  <c r="C74" i="5"/>
  <c r="C75" i="5"/>
  <c r="C76" i="5"/>
  <c r="C53" i="5"/>
  <c r="C54" i="5"/>
  <c r="C56" i="5"/>
  <c r="M213" i="5"/>
  <c r="M208" i="5"/>
  <c r="M203" i="5"/>
  <c r="M197" i="5"/>
  <c r="M191" i="5"/>
  <c r="M186" i="5" s="1"/>
  <c r="M190" i="5"/>
  <c r="M189" i="5"/>
  <c r="M184" i="5" s="1"/>
  <c r="M185" i="5"/>
  <c r="M176" i="5"/>
  <c r="M171" i="5"/>
  <c r="M166" i="5"/>
  <c r="M154" i="5"/>
  <c r="M153" i="5"/>
  <c r="M152" i="5"/>
  <c r="M151" i="5"/>
  <c r="M150" i="5" s="1"/>
  <c r="M145" i="5" s="1"/>
  <c r="M149" i="5"/>
  <c r="M148" i="5"/>
  <c r="M147" i="5"/>
  <c r="M146" i="5"/>
  <c r="M133" i="5"/>
  <c r="M132" i="5"/>
  <c r="M130" i="5"/>
  <c r="M129" i="5"/>
  <c r="M124" i="5" s="1"/>
  <c r="M128" i="5"/>
  <c r="M127" i="5"/>
  <c r="M126" i="5"/>
  <c r="M125" i="5"/>
  <c r="M113" i="5"/>
  <c r="M111" i="5"/>
  <c r="M109" i="5"/>
  <c r="M106" i="5"/>
  <c r="M92" i="5"/>
  <c r="M87" i="5"/>
  <c r="M77" i="5"/>
  <c r="M72" i="5"/>
  <c r="M67" i="5"/>
  <c r="M62" i="5"/>
  <c r="M57" i="5"/>
  <c r="M52" i="5"/>
  <c r="M51" i="5"/>
  <c r="M50" i="5"/>
  <c r="M45" i="5" s="1"/>
  <c r="M49" i="5"/>
  <c r="M44" i="5" s="1"/>
  <c r="M48" i="5"/>
  <c r="M46" i="5"/>
  <c r="M31" i="5"/>
  <c r="M38" i="5"/>
  <c r="M36" i="5"/>
  <c r="M25" i="5"/>
  <c r="J135" i="5"/>
  <c r="J65" i="5"/>
  <c r="M187" i="5" l="1"/>
  <c r="M182" i="5" s="1"/>
  <c r="M20" i="5"/>
  <c r="M15" i="5" s="1"/>
  <c r="M108" i="5"/>
  <c r="C218" i="5"/>
  <c r="M183" i="5"/>
  <c r="M27" i="5"/>
  <c r="M21" i="5" s="1"/>
  <c r="M16" i="5" s="1"/>
  <c r="M104" i="5"/>
  <c r="M103" i="5" s="1"/>
  <c r="M47" i="5"/>
  <c r="M43" i="5"/>
  <c r="M42" i="5" s="1"/>
  <c r="M33" i="5"/>
  <c r="M30" i="5" s="1"/>
  <c r="J60" i="5"/>
  <c r="J35" i="5"/>
  <c r="J36" i="5" s="1"/>
  <c r="J33" i="5" s="1"/>
  <c r="K87" i="5"/>
  <c r="J87" i="5"/>
  <c r="I114" i="5"/>
  <c r="I113" i="5" s="1"/>
  <c r="I156" i="5"/>
  <c r="I155" i="5" s="1"/>
  <c r="I39" i="5"/>
  <c r="K31" i="5"/>
  <c r="K92" i="5"/>
  <c r="L92" i="5"/>
  <c r="L213" i="5"/>
  <c r="K213" i="5"/>
  <c r="J213" i="5"/>
  <c r="I213" i="5"/>
  <c r="H213" i="5"/>
  <c r="G213" i="5"/>
  <c r="F213" i="5"/>
  <c r="E213" i="5"/>
  <c r="D213" i="5"/>
  <c r="L208" i="5"/>
  <c r="K208" i="5"/>
  <c r="J208" i="5"/>
  <c r="I208" i="5"/>
  <c r="H208" i="5"/>
  <c r="G208" i="5"/>
  <c r="F208" i="5"/>
  <c r="E208" i="5"/>
  <c r="D208" i="5"/>
  <c r="C208" i="5" s="1"/>
  <c r="L203" i="5"/>
  <c r="K203" i="5"/>
  <c r="J203" i="5"/>
  <c r="I203" i="5"/>
  <c r="H203" i="5"/>
  <c r="G203" i="5"/>
  <c r="F203" i="5"/>
  <c r="E203" i="5"/>
  <c r="D203" i="5"/>
  <c r="L197" i="5"/>
  <c r="K197" i="5"/>
  <c r="K192" i="5"/>
  <c r="J192" i="5"/>
  <c r="I192" i="5"/>
  <c r="H192" i="5"/>
  <c r="G192" i="5"/>
  <c r="F192" i="5"/>
  <c r="E192" i="5"/>
  <c r="D192" i="5"/>
  <c r="L191" i="5"/>
  <c r="K191" i="5"/>
  <c r="J191" i="5"/>
  <c r="I191" i="5"/>
  <c r="H191" i="5"/>
  <c r="G191" i="5"/>
  <c r="F191" i="5"/>
  <c r="E191" i="5"/>
  <c r="D191" i="5"/>
  <c r="C191" i="5" s="1"/>
  <c r="L190" i="5"/>
  <c r="J190" i="5"/>
  <c r="I190" i="5"/>
  <c r="H190" i="5"/>
  <c r="G190" i="5"/>
  <c r="F190" i="5"/>
  <c r="E190" i="5"/>
  <c r="D190" i="5"/>
  <c r="L189" i="5"/>
  <c r="K189" i="5"/>
  <c r="J189" i="5"/>
  <c r="I189" i="5"/>
  <c r="I184" i="5" s="1"/>
  <c r="H189" i="5"/>
  <c r="G189" i="5"/>
  <c r="G184" i="5" s="1"/>
  <c r="F189" i="5"/>
  <c r="E189" i="5"/>
  <c r="E184" i="5" s="1"/>
  <c r="D189" i="5"/>
  <c r="L187" i="5"/>
  <c r="L182" i="5" s="1"/>
  <c r="I188" i="5"/>
  <c r="I183" i="5" s="1"/>
  <c r="H188" i="5"/>
  <c r="G188" i="5"/>
  <c r="G183" i="5" s="1"/>
  <c r="F188" i="5"/>
  <c r="E188" i="5"/>
  <c r="E183" i="5" s="1"/>
  <c r="D188" i="5"/>
  <c r="G187" i="5"/>
  <c r="G182" i="5" s="1"/>
  <c r="L186" i="5"/>
  <c r="K186" i="5"/>
  <c r="J186" i="5"/>
  <c r="I186" i="5"/>
  <c r="H186" i="5"/>
  <c r="G186" i="5"/>
  <c r="F186" i="5"/>
  <c r="E186" i="5"/>
  <c r="D186" i="5"/>
  <c r="C186" i="5" s="1"/>
  <c r="L185" i="5"/>
  <c r="K185" i="5"/>
  <c r="I185" i="5"/>
  <c r="G185" i="5"/>
  <c r="E185" i="5"/>
  <c r="L184" i="5"/>
  <c r="J184" i="5"/>
  <c r="H184" i="5"/>
  <c r="F184" i="5"/>
  <c r="D184" i="5"/>
  <c r="H183" i="5"/>
  <c r="F183" i="5"/>
  <c r="D183" i="5"/>
  <c r="L176" i="5"/>
  <c r="K176" i="5"/>
  <c r="J176" i="5"/>
  <c r="I176" i="5"/>
  <c r="H176" i="5"/>
  <c r="G176" i="5"/>
  <c r="F176" i="5"/>
  <c r="E176" i="5"/>
  <c r="D176" i="5"/>
  <c r="L171" i="5"/>
  <c r="K171" i="5"/>
  <c r="J171" i="5"/>
  <c r="I171" i="5"/>
  <c r="H171" i="5"/>
  <c r="G171" i="5"/>
  <c r="F171" i="5"/>
  <c r="E171" i="5"/>
  <c r="D171" i="5"/>
  <c r="C171" i="5" s="1"/>
  <c r="F167" i="5"/>
  <c r="C167" i="5" s="1"/>
  <c r="L166" i="5"/>
  <c r="K166" i="5"/>
  <c r="J166" i="5"/>
  <c r="I166" i="5"/>
  <c r="H166" i="5"/>
  <c r="G166" i="5"/>
  <c r="F166" i="5"/>
  <c r="E166" i="5"/>
  <c r="D166" i="5"/>
  <c r="F164" i="5"/>
  <c r="C164" i="5" s="1"/>
  <c r="F162" i="5"/>
  <c r="C162" i="5" s="1"/>
  <c r="H161" i="5"/>
  <c r="G161" i="5"/>
  <c r="G160" i="5" s="1"/>
  <c r="F161" i="5"/>
  <c r="E161" i="5"/>
  <c r="K160" i="5"/>
  <c r="J160" i="5"/>
  <c r="I160" i="5"/>
  <c r="H160" i="5"/>
  <c r="F160" i="5"/>
  <c r="D160" i="5"/>
  <c r="H156" i="5"/>
  <c r="F156" i="5"/>
  <c r="E156" i="5"/>
  <c r="K155" i="5"/>
  <c r="J155" i="5"/>
  <c r="G155" i="5"/>
  <c r="F155" i="5"/>
  <c r="E155" i="5"/>
  <c r="D155" i="5"/>
  <c r="L154" i="5"/>
  <c r="L149" i="5" s="1"/>
  <c r="L133" i="5" s="1"/>
  <c r="L128" i="5" s="1"/>
  <c r="K154" i="5"/>
  <c r="J154" i="5"/>
  <c r="J149" i="5" s="1"/>
  <c r="J133" i="5" s="1"/>
  <c r="J128" i="5" s="1"/>
  <c r="I154" i="5"/>
  <c r="H154" i="5"/>
  <c r="H149" i="5" s="1"/>
  <c r="H133" i="5" s="1"/>
  <c r="H128" i="5" s="1"/>
  <c r="G154" i="5"/>
  <c r="F154" i="5"/>
  <c r="F149" i="5" s="1"/>
  <c r="F133" i="5" s="1"/>
  <c r="F128" i="5" s="1"/>
  <c r="E154" i="5"/>
  <c r="D154" i="5"/>
  <c r="L153" i="5"/>
  <c r="K153" i="5"/>
  <c r="K148" i="5" s="1"/>
  <c r="J153" i="5"/>
  <c r="I153" i="5"/>
  <c r="I148" i="5" s="1"/>
  <c r="H153" i="5"/>
  <c r="G153" i="5"/>
  <c r="G148" i="5" s="1"/>
  <c r="F153" i="5"/>
  <c r="E153" i="5"/>
  <c r="E148" i="5" s="1"/>
  <c r="D153" i="5"/>
  <c r="L152" i="5"/>
  <c r="L147" i="5" s="1"/>
  <c r="K152" i="5"/>
  <c r="J152" i="5"/>
  <c r="J147" i="5" s="1"/>
  <c r="I152" i="5"/>
  <c r="H152" i="5"/>
  <c r="H147" i="5" s="1"/>
  <c r="G152" i="5"/>
  <c r="F152" i="5"/>
  <c r="F147" i="5" s="1"/>
  <c r="E152" i="5"/>
  <c r="D152" i="5"/>
  <c r="L151" i="5"/>
  <c r="K151" i="5"/>
  <c r="K146" i="5" s="1"/>
  <c r="J151" i="5"/>
  <c r="I151" i="5"/>
  <c r="F151" i="5"/>
  <c r="D151" i="5"/>
  <c r="D150" i="5"/>
  <c r="D145" i="5" s="1"/>
  <c r="K149" i="5"/>
  <c r="I149" i="5"/>
  <c r="I133" i="5" s="1"/>
  <c r="I128" i="5" s="1"/>
  <c r="G149" i="5"/>
  <c r="E149" i="5"/>
  <c r="E133" i="5" s="1"/>
  <c r="E128" i="5" s="1"/>
  <c r="L148" i="5"/>
  <c r="J148" i="5"/>
  <c r="H148" i="5"/>
  <c r="F148" i="5"/>
  <c r="D148" i="5"/>
  <c r="K147" i="5"/>
  <c r="I147" i="5"/>
  <c r="G147" i="5"/>
  <c r="E147" i="5"/>
  <c r="L146" i="5"/>
  <c r="F146" i="5"/>
  <c r="D146" i="5"/>
  <c r="I142" i="5"/>
  <c r="K139" i="5"/>
  <c r="J139" i="5"/>
  <c r="H139" i="5"/>
  <c r="G139" i="5"/>
  <c r="F139" i="5"/>
  <c r="E139" i="5"/>
  <c r="D139" i="5"/>
  <c r="I135" i="5"/>
  <c r="I134" i="5" s="1"/>
  <c r="H135" i="5"/>
  <c r="F135" i="5"/>
  <c r="E135" i="5"/>
  <c r="J134" i="5"/>
  <c r="H134" i="5"/>
  <c r="G134" i="5"/>
  <c r="F134" i="5"/>
  <c r="D134" i="5"/>
  <c r="K133" i="5"/>
  <c r="G133" i="5"/>
  <c r="L132" i="5"/>
  <c r="K132" i="5"/>
  <c r="J132" i="5"/>
  <c r="J127" i="5" s="1"/>
  <c r="H132" i="5"/>
  <c r="H127" i="5" s="1"/>
  <c r="G132" i="5"/>
  <c r="F132" i="5"/>
  <c r="F127" i="5" s="1"/>
  <c r="E132" i="5"/>
  <c r="D132" i="5"/>
  <c r="D127" i="5" s="1"/>
  <c r="L130" i="5"/>
  <c r="K130" i="5"/>
  <c r="K125" i="5" s="1"/>
  <c r="J130" i="5"/>
  <c r="I130" i="5"/>
  <c r="H130" i="5"/>
  <c r="H125" i="5" s="1"/>
  <c r="G130" i="5"/>
  <c r="F130" i="5"/>
  <c r="D130" i="5"/>
  <c r="D125" i="5" s="1"/>
  <c r="H129" i="5"/>
  <c r="K128" i="5"/>
  <c r="G128" i="5"/>
  <c r="L127" i="5"/>
  <c r="G127" i="5"/>
  <c r="E127" i="5"/>
  <c r="L126" i="5"/>
  <c r="K126" i="5"/>
  <c r="J126" i="5"/>
  <c r="I126" i="5"/>
  <c r="H126" i="5"/>
  <c r="G126" i="5"/>
  <c r="F126" i="5"/>
  <c r="E126" i="5"/>
  <c r="I125" i="5"/>
  <c r="G125" i="5"/>
  <c r="H124" i="5"/>
  <c r="I119" i="5"/>
  <c r="C119" i="5" s="1"/>
  <c r="K118" i="5"/>
  <c r="J118" i="5"/>
  <c r="I118" i="5"/>
  <c r="H118" i="5"/>
  <c r="G118" i="5"/>
  <c r="F118" i="5"/>
  <c r="E118" i="5"/>
  <c r="D118" i="5"/>
  <c r="E116" i="5"/>
  <c r="F114" i="5"/>
  <c r="E114" i="5"/>
  <c r="E109" i="5" s="1"/>
  <c r="D114" i="5"/>
  <c r="L113" i="5"/>
  <c r="K113" i="5"/>
  <c r="J113" i="5"/>
  <c r="H113" i="5"/>
  <c r="G113" i="5"/>
  <c r="F113" i="5"/>
  <c r="E113" i="5"/>
  <c r="D113" i="5"/>
  <c r="L111" i="5"/>
  <c r="L108" i="5" s="1"/>
  <c r="K111" i="5"/>
  <c r="J111" i="5"/>
  <c r="J106" i="5" s="1"/>
  <c r="I111" i="5"/>
  <c r="H111" i="5"/>
  <c r="G111" i="5"/>
  <c r="F111" i="5"/>
  <c r="D111" i="5"/>
  <c r="D106" i="5" s="1"/>
  <c r="D103" i="5" s="1"/>
  <c r="L109" i="5"/>
  <c r="K109" i="5"/>
  <c r="K104" i="5" s="1"/>
  <c r="J109" i="5"/>
  <c r="J104" i="5" s="1"/>
  <c r="H109" i="5"/>
  <c r="H108" i="5" s="1"/>
  <c r="G109" i="5"/>
  <c r="F109" i="5"/>
  <c r="F108" i="5" s="1"/>
  <c r="D109" i="5"/>
  <c r="J108" i="5"/>
  <c r="G108" i="5"/>
  <c r="L106" i="5"/>
  <c r="I106" i="5"/>
  <c r="H106" i="5"/>
  <c r="G106" i="5"/>
  <c r="F106" i="5"/>
  <c r="L104" i="5"/>
  <c r="L103" i="5" s="1"/>
  <c r="G104" i="5"/>
  <c r="E104" i="5"/>
  <c r="D104" i="5"/>
  <c r="J92" i="5"/>
  <c r="I94" i="5"/>
  <c r="C94" i="5" s="1"/>
  <c r="H92" i="5"/>
  <c r="G92" i="5"/>
  <c r="F92" i="5"/>
  <c r="E92" i="5"/>
  <c r="D92" i="5"/>
  <c r="I89" i="5"/>
  <c r="C89" i="5" s="1"/>
  <c r="L87" i="5"/>
  <c r="I87" i="5"/>
  <c r="H87" i="5"/>
  <c r="G87" i="5"/>
  <c r="F87" i="5"/>
  <c r="E87" i="5"/>
  <c r="D87" i="5"/>
  <c r="L85" i="5"/>
  <c r="L82" i="5" s="1"/>
  <c r="K85" i="5"/>
  <c r="K82" i="5" s="1"/>
  <c r="J85" i="5"/>
  <c r="I85" i="5"/>
  <c r="J82" i="5"/>
  <c r="I82" i="5"/>
  <c r="H82" i="5"/>
  <c r="G82" i="5"/>
  <c r="F82" i="5"/>
  <c r="E82" i="5"/>
  <c r="D82" i="5"/>
  <c r="I80" i="5"/>
  <c r="H80" i="5"/>
  <c r="G80" i="5"/>
  <c r="L77" i="5"/>
  <c r="K77" i="5"/>
  <c r="J77" i="5"/>
  <c r="I77" i="5"/>
  <c r="H77" i="5"/>
  <c r="G77" i="5"/>
  <c r="I73" i="5"/>
  <c r="I48" i="5" s="1"/>
  <c r="I43" i="5" s="1"/>
  <c r="H73" i="5"/>
  <c r="G73" i="5"/>
  <c r="G48" i="5" s="1"/>
  <c r="G43" i="5" s="1"/>
  <c r="F73" i="5"/>
  <c r="D73" i="5"/>
  <c r="D72" i="5" s="1"/>
  <c r="L72" i="5"/>
  <c r="K72" i="5"/>
  <c r="J72" i="5"/>
  <c r="I72" i="5"/>
  <c r="H72" i="5"/>
  <c r="G72" i="5"/>
  <c r="F72" i="5"/>
  <c r="E72" i="5"/>
  <c r="F70" i="5"/>
  <c r="E70" i="5"/>
  <c r="L67" i="5"/>
  <c r="K67" i="5"/>
  <c r="J67" i="5"/>
  <c r="I67" i="5"/>
  <c r="H67" i="5"/>
  <c r="G67" i="5"/>
  <c r="F67" i="5"/>
  <c r="E67" i="5"/>
  <c r="D67" i="5"/>
  <c r="I65" i="5"/>
  <c r="H65" i="5"/>
  <c r="H62" i="5" s="1"/>
  <c r="G65" i="5"/>
  <c r="E65" i="5"/>
  <c r="D65" i="5"/>
  <c r="L62" i="5"/>
  <c r="J62" i="5"/>
  <c r="I62" i="5"/>
  <c r="G62" i="5"/>
  <c r="F62" i="5"/>
  <c r="E62" i="5"/>
  <c r="C61" i="5"/>
  <c r="I60" i="5"/>
  <c r="I50" i="5" s="1"/>
  <c r="I45" i="5" s="1"/>
  <c r="G60" i="5"/>
  <c r="G57" i="5" s="1"/>
  <c r="E60" i="5"/>
  <c r="E57" i="5" s="1"/>
  <c r="C59" i="5"/>
  <c r="C58" i="5"/>
  <c r="L57" i="5"/>
  <c r="K57" i="5"/>
  <c r="J57" i="5"/>
  <c r="I57" i="5"/>
  <c r="H57" i="5"/>
  <c r="F57" i="5"/>
  <c r="D57" i="5"/>
  <c r="I55" i="5"/>
  <c r="H55" i="5"/>
  <c r="H52" i="5" s="1"/>
  <c r="G55" i="5"/>
  <c r="F55" i="5"/>
  <c r="F52" i="5" s="1"/>
  <c r="E55" i="5"/>
  <c r="D55" i="5"/>
  <c r="C55" i="5" s="1"/>
  <c r="L52" i="5"/>
  <c r="K52" i="5"/>
  <c r="J52" i="5"/>
  <c r="I52" i="5"/>
  <c r="G52" i="5"/>
  <c r="E52" i="5"/>
  <c r="L51" i="5"/>
  <c r="K51" i="5"/>
  <c r="K46" i="5" s="1"/>
  <c r="J51" i="5"/>
  <c r="I51" i="5"/>
  <c r="H51" i="5"/>
  <c r="G51" i="5"/>
  <c r="G46" i="5" s="1"/>
  <c r="F51" i="5"/>
  <c r="E51" i="5"/>
  <c r="E46" i="5" s="1"/>
  <c r="D51" i="5"/>
  <c r="L50" i="5"/>
  <c r="J50" i="5"/>
  <c r="H50" i="5"/>
  <c r="G50" i="5"/>
  <c r="F50" i="5"/>
  <c r="F45" i="5" s="1"/>
  <c r="D50" i="5"/>
  <c r="D45" i="5" s="1"/>
  <c r="L49" i="5"/>
  <c r="K49" i="5"/>
  <c r="J49" i="5"/>
  <c r="I49" i="5"/>
  <c r="H49" i="5"/>
  <c r="G49" i="5"/>
  <c r="F49" i="5"/>
  <c r="E49" i="5"/>
  <c r="D49" i="5"/>
  <c r="L48" i="5"/>
  <c r="K48" i="5"/>
  <c r="J48" i="5"/>
  <c r="H48" i="5"/>
  <c r="H47" i="5" s="1"/>
  <c r="F48" i="5"/>
  <c r="F43" i="5" s="1"/>
  <c r="E48" i="5"/>
  <c r="D48" i="5"/>
  <c r="D47" i="5" s="1"/>
  <c r="F47" i="5"/>
  <c r="L46" i="5"/>
  <c r="J46" i="5"/>
  <c r="H46" i="5"/>
  <c r="F46" i="5"/>
  <c r="D46" i="5"/>
  <c r="L45" i="5"/>
  <c r="H45" i="5"/>
  <c r="G45" i="5"/>
  <c r="L44" i="5"/>
  <c r="K44" i="5"/>
  <c r="J44" i="5"/>
  <c r="I44" i="5"/>
  <c r="H44" i="5"/>
  <c r="F44" i="5"/>
  <c r="D44" i="5"/>
  <c r="L43" i="5"/>
  <c r="K43" i="5"/>
  <c r="J43" i="5"/>
  <c r="H43" i="5"/>
  <c r="E43" i="5"/>
  <c r="J40" i="5"/>
  <c r="I40" i="5"/>
  <c r="H39" i="5"/>
  <c r="H40" i="5" s="1"/>
  <c r="G39" i="5"/>
  <c r="G40" i="5" s="1"/>
  <c r="F39" i="5"/>
  <c r="F40" i="5" s="1"/>
  <c r="E39" i="5"/>
  <c r="E40" i="5" s="1"/>
  <c r="D39" i="5"/>
  <c r="D40" i="5" s="1"/>
  <c r="L38" i="5"/>
  <c r="K38" i="5"/>
  <c r="J38" i="5"/>
  <c r="I38" i="5"/>
  <c r="H38" i="5"/>
  <c r="F38" i="5"/>
  <c r="D38" i="5"/>
  <c r="G37" i="5"/>
  <c r="G38" i="5" s="1"/>
  <c r="E37" i="5"/>
  <c r="L36" i="5"/>
  <c r="K36" i="5"/>
  <c r="K27" i="5" s="1"/>
  <c r="I35" i="5"/>
  <c r="I36" i="5" s="1"/>
  <c r="H35" i="5"/>
  <c r="H36" i="5" s="1"/>
  <c r="G35" i="5"/>
  <c r="G36" i="5" s="1"/>
  <c r="F35" i="5"/>
  <c r="F36" i="5" s="1"/>
  <c r="E35" i="5"/>
  <c r="E36" i="5" s="1"/>
  <c r="D35" i="5"/>
  <c r="J31" i="5"/>
  <c r="K25" i="5"/>
  <c r="J25" i="5"/>
  <c r="G22" i="5"/>
  <c r="C22" i="5" s="1"/>
  <c r="G17" i="5"/>
  <c r="F17" i="5"/>
  <c r="G47" i="5" l="1"/>
  <c r="I47" i="5"/>
  <c r="G103" i="5"/>
  <c r="F129" i="5"/>
  <c r="F124" i="5" s="1"/>
  <c r="F125" i="5"/>
  <c r="L129" i="5"/>
  <c r="L124" i="5" s="1"/>
  <c r="L125" i="5"/>
  <c r="E134" i="5"/>
  <c r="E130" i="5"/>
  <c r="I150" i="5"/>
  <c r="I145" i="5" s="1"/>
  <c r="I146" i="5"/>
  <c r="C152" i="5"/>
  <c r="D147" i="5"/>
  <c r="D131" i="5" s="1"/>
  <c r="C154" i="5"/>
  <c r="D149" i="5"/>
  <c r="C161" i="5"/>
  <c r="E160" i="5"/>
  <c r="K187" i="5"/>
  <c r="K182" i="5" s="1"/>
  <c r="C182" i="5" s="1"/>
  <c r="K184" i="5"/>
  <c r="C184" i="5" s="1"/>
  <c r="C190" i="5"/>
  <c r="D187" i="5"/>
  <c r="D182" i="5" s="1"/>
  <c r="D185" i="5"/>
  <c r="C185" i="5" s="1"/>
  <c r="F187" i="5"/>
  <c r="F182" i="5" s="1"/>
  <c r="F185" i="5"/>
  <c r="H187" i="5"/>
  <c r="H182" i="5" s="1"/>
  <c r="H185" i="5"/>
  <c r="J187" i="5"/>
  <c r="J182" i="5" s="1"/>
  <c r="J185" i="5"/>
  <c r="C17" i="5"/>
  <c r="C40" i="5"/>
  <c r="C25" i="5" s="1"/>
  <c r="L20" i="5"/>
  <c r="E50" i="5"/>
  <c r="E45" i="5" s="1"/>
  <c r="C65" i="5"/>
  <c r="C70" i="5"/>
  <c r="C80" i="5"/>
  <c r="C85" i="5"/>
  <c r="F104" i="5"/>
  <c r="F103" i="5" s="1"/>
  <c r="H104" i="5"/>
  <c r="H103" i="5" s="1"/>
  <c r="D108" i="5"/>
  <c r="C116" i="5"/>
  <c r="E111" i="5"/>
  <c r="C134" i="5"/>
  <c r="C142" i="5"/>
  <c r="I139" i="5"/>
  <c r="I132" i="5"/>
  <c r="I127" i="5" s="1"/>
  <c r="C148" i="5"/>
  <c r="F150" i="5"/>
  <c r="F145" i="5" s="1"/>
  <c r="L150" i="5"/>
  <c r="L145" i="5" s="1"/>
  <c r="E151" i="5"/>
  <c r="G151" i="5"/>
  <c r="C156" i="5"/>
  <c r="H155" i="5"/>
  <c r="C155" i="5" s="1"/>
  <c r="H151" i="5"/>
  <c r="E187" i="5"/>
  <c r="E182" i="5" s="1"/>
  <c r="I187" i="5"/>
  <c r="I182" i="5" s="1"/>
  <c r="K108" i="5"/>
  <c r="G129" i="5"/>
  <c r="G124" i="5" s="1"/>
  <c r="I129" i="5"/>
  <c r="I124" i="5" s="1"/>
  <c r="J150" i="5"/>
  <c r="J145" i="5" s="1"/>
  <c r="C203" i="5"/>
  <c r="D43" i="5"/>
  <c r="E44" i="5"/>
  <c r="E42" i="5" s="1"/>
  <c r="G44" i="5"/>
  <c r="G42" i="5" s="1"/>
  <c r="I42" i="5"/>
  <c r="I46" i="5"/>
  <c r="I20" i="5"/>
  <c r="I15" i="5" s="1"/>
  <c r="D42" i="5"/>
  <c r="F42" i="5"/>
  <c r="H42" i="5"/>
  <c r="C46" i="5"/>
  <c r="C51" i="5"/>
  <c r="K106" i="5"/>
  <c r="C111" i="5"/>
  <c r="K103" i="5"/>
  <c r="C77" i="5"/>
  <c r="K24" i="5"/>
  <c r="J183" i="5"/>
  <c r="J146" i="5"/>
  <c r="J19" i="5" s="1"/>
  <c r="J14" i="5" s="1"/>
  <c r="J30" i="5"/>
  <c r="J27" i="5"/>
  <c r="J24" i="5" s="1"/>
  <c r="C37" i="5"/>
  <c r="L42" i="5"/>
  <c r="D52" i="5"/>
  <c r="C57" i="5"/>
  <c r="C60" i="5"/>
  <c r="D62" i="5"/>
  <c r="C67" i="5"/>
  <c r="C72" i="5"/>
  <c r="C73" i="5"/>
  <c r="C82" i="5"/>
  <c r="I92" i="5"/>
  <c r="C114" i="5"/>
  <c r="C118" i="5"/>
  <c r="C139" i="5"/>
  <c r="C153" i="5"/>
  <c r="C160" i="5"/>
  <c r="C166" i="5"/>
  <c r="C176" i="5"/>
  <c r="C189" i="5"/>
  <c r="C192" i="5"/>
  <c r="C39" i="5"/>
  <c r="D36" i="5"/>
  <c r="C35" i="5"/>
  <c r="L27" i="5"/>
  <c r="L24" i="5" s="1"/>
  <c r="L33" i="5"/>
  <c r="L30" i="5" s="1"/>
  <c r="C52" i="5"/>
  <c r="C62" i="5"/>
  <c r="C132" i="5"/>
  <c r="C135" i="5"/>
  <c r="C213" i="5"/>
  <c r="L183" i="5"/>
  <c r="C197" i="5"/>
  <c r="K183" i="5"/>
  <c r="K19" i="5" s="1"/>
  <c r="C188" i="5"/>
  <c r="C183" i="5"/>
  <c r="C187" i="5"/>
  <c r="K150" i="5"/>
  <c r="K127" i="5"/>
  <c r="C127" i="5" s="1"/>
  <c r="K129" i="5"/>
  <c r="C113" i="5"/>
  <c r="C92" i="5"/>
  <c r="C49" i="5"/>
  <c r="C87" i="5"/>
  <c r="K20" i="5"/>
  <c r="K15" i="5" s="1"/>
  <c r="C44" i="5"/>
  <c r="L47" i="5"/>
  <c r="C43" i="5"/>
  <c r="C48" i="5"/>
  <c r="K42" i="5"/>
  <c r="K47" i="5"/>
  <c r="K14" i="5"/>
  <c r="K21" i="5"/>
  <c r="K16" i="5" s="1"/>
  <c r="C36" i="5"/>
  <c r="K33" i="5"/>
  <c r="M24" i="5"/>
  <c r="M19" i="5"/>
  <c r="M18" i="5" s="1"/>
  <c r="J125" i="5"/>
  <c r="J129" i="5"/>
  <c r="J45" i="5"/>
  <c r="J103" i="5"/>
  <c r="J47" i="5"/>
  <c r="L15" i="5"/>
  <c r="J20" i="5"/>
  <c r="I109" i="5"/>
  <c r="C109" i="5" s="1"/>
  <c r="D33" i="5"/>
  <c r="D27" i="5"/>
  <c r="D21" i="5" s="1"/>
  <c r="F33" i="5"/>
  <c r="F27" i="5"/>
  <c r="F21" i="5" s="1"/>
  <c r="F16" i="5" s="1"/>
  <c r="H33" i="5"/>
  <c r="H27" i="5"/>
  <c r="H21" i="5" s="1"/>
  <c r="H16" i="5" s="1"/>
  <c r="E31" i="5"/>
  <c r="E25" i="5"/>
  <c r="I31" i="5"/>
  <c r="I25" i="5"/>
  <c r="G33" i="5"/>
  <c r="G27" i="5"/>
  <c r="G21" i="5" s="1"/>
  <c r="G16" i="5" s="1"/>
  <c r="I33" i="5"/>
  <c r="I27" i="5"/>
  <c r="I21" i="5" s="1"/>
  <c r="I16" i="5" s="1"/>
  <c r="D31" i="5"/>
  <c r="D25" i="5"/>
  <c r="F31" i="5"/>
  <c r="F25" i="5"/>
  <c r="H31" i="5"/>
  <c r="H25" i="5"/>
  <c r="G31" i="5"/>
  <c r="G25" i="5"/>
  <c r="E38" i="5"/>
  <c r="E33" i="5" s="1"/>
  <c r="G150" i="5" l="1"/>
  <c r="G145" i="5" s="1"/>
  <c r="G146" i="5"/>
  <c r="G19" i="5" s="1"/>
  <c r="C149" i="5"/>
  <c r="D133" i="5"/>
  <c r="C131" i="5"/>
  <c r="D129" i="5"/>
  <c r="D124" i="5" s="1"/>
  <c r="D126" i="5"/>
  <c r="C126" i="5" s="1"/>
  <c r="E129" i="5"/>
  <c r="E124" i="5" s="1"/>
  <c r="E125" i="5"/>
  <c r="C31" i="5"/>
  <c r="C45" i="5"/>
  <c r="C125" i="5"/>
  <c r="C50" i="5"/>
  <c r="C151" i="5"/>
  <c r="L19" i="5"/>
  <c r="L14" i="5" s="1"/>
  <c r="C130" i="5"/>
  <c r="C147" i="5"/>
  <c r="H146" i="5"/>
  <c r="H150" i="5"/>
  <c r="H145" i="5" s="1"/>
  <c r="E150" i="5"/>
  <c r="E145" i="5" s="1"/>
  <c r="E146" i="5"/>
  <c r="E108" i="5"/>
  <c r="E106" i="5"/>
  <c r="E47" i="5"/>
  <c r="J21" i="5"/>
  <c r="J16" i="5" s="1"/>
  <c r="C38" i="5"/>
  <c r="C27" i="5" s="1"/>
  <c r="C24" i="5" s="1"/>
  <c r="C20" i="5"/>
  <c r="C150" i="5"/>
  <c r="K145" i="5"/>
  <c r="C129" i="5"/>
  <c r="K124" i="5"/>
  <c r="C47" i="5"/>
  <c r="K18" i="5"/>
  <c r="K13" i="5"/>
  <c r="L21" i="5"/>
  <c r="C33" i="5"/>
  <c r="C30" i="5" s="1"/>
  <c r="K30" i="5"/>
  <c r="M14" i="5"/>
  <c r="M13" i="5" s="1"/>
  <c r="J124" i="5"/>
  <c r="J42" i="5"/>
  <c r="C42" i="5" s="1"/>
  <c r="J18" i="5"/>
  <c r="J15" i="5"/>
  <c r="C15" i="5" s="1"/>
  <c r="I108" i="5"/>
  <c r="I104" i="5"/>
  <c r="G24" i="5"/>
  <c r="H24" i="5"/>
  <c r="H19" i="5"/>
  <c r="F24" i="5"/>
  <c r="F19" i="5"/>
  <c r="D24" i="5"/>
  <c r="D19" i="5"/>
  <c r="D30" i="5"/>
  <c r="I24" i="5"/>
  <c r="E19" i="5"/>
  <c r="D16" i="5"/>
  <c r="I30" i="5"/>
  <c r="E30" i="5"/>
  <c r="G30" i="5"/>
  <c r="H30" i="5"/>
  <c r="F30" i="5"/>
  <c r="E27" i="5"/>
  <c r="E21" i="5" s="1"/>
  <c r="E16" i="5" s="1"/>
  <c r="C133" i="5" l="1"/>
  <c r="D128" i="5"/>
  <c r="C128" i="5" s="1"/>
  <c r="C108" i="5"/>
  <c r="C145" i="5"/>
  <c r="E103" i="5"/>
  <c r="C106" i="5"/>
  <c r="C146" i="5"/>
  <c r="C124" i="5"/>
  <c r="I103" i="5"/>
  <c r="C103" i="5" s="1"/>
  <c r="C104" i="5"/>
  <c r="L16" i="5"/>
  <c r="C21" i="5"/>
  <c r="L18" i="5"/>
  <c r="J13" i="5"/>
  <c r="I19" i="5"/>
  <c r="C19" i="5" s="1"/>
  <c r="D18" i="5"/>
  <c r="D14" i="5"/>
  <c r="F18" i="5"/>
  <c r="F14" i="5"/>
  <c r="F13" i="5" s="1"/>
  <c r="H18" i="5"/>
  <c r="H14" i="5"/>
  <c r="H13" i="5" s="1"/>
  <c r="E18" i="5"/>
  <c r="E14" i="5"/>
  <c r="E13" i="5" s="1"/>
  <c r="G18" i="5"/>
  <c r="G14" i="5"/>
  <c r="G13" i="5" s="1"/>
  <c r="E24" i="5"/>
  <c r="I14" i="5" l="1"/>
  <c r="I13" i="5" s="1"/>
  <c r="C14" i="5"/>
  <c r="I18" i="5"/>
  <c r="C18" i="5" s="1"/>
  <c r="L13" i="5"/>
  <c r="C16" i="5"/>
  <c r="D13" i="5"/>
  <c r="C13" i="5" l="1"/>
</calcChain>
</file>

<file path=xl/sharedStrings.xml><?xml version="1.0" encoding="utf-8"?>
<sst xmlns="http://schemas.openxmlformats.org/spreadsheetml/2006/main" count="315" uniqueCount="76">
  <si>
    <t>всего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</si>
  <si>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</si>
  <si>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</si>
  <si>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</si>
  <si>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</si>
  <si>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</si>
  <si>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</si>
  <si>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</si>
  <si>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</si>
  <si>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</si>
  <si>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</si>
  <si>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>Всего по подпрограмме 3, в том числе</t>
  </si>
  <si>
    <t>План</t>
  </si>
  <si>
    <t xml:space="preserve"> мероприятий по выполнению муниципальной программы </t>
  </si>
  <si>
    <t>Мероприятие 4.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учебы, всего, из них:</t>
  </si>
  <si>
    <t>областной бюджет</t>
  </si>
  <si>
    <t>местный бюджет</t>
  </si>
  <si>
    <t>Подпрограмма 4 «Развитие системы отдыха,оздоровления детей в Городском округе Верхняя Тура»</t>
  </si>
  <si>
    <t>Подпрограмма 5 «Укрепление и развитие материально-технической базы образовательных организаций городского округа Верхняя Тура»</t>
  </si>
  <si>
    <t>Мероприятие 1.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 - всего, из них</t>
  </si>
  <si>
    <t>Мероприятие 3. Укрепление и развитие материально-технической базы учреждений дополнительного образования в Городском округе Верхняя Тура - всего, из них</t>
  </si>
  <si>
    <t xml:space="preserve">Подпрограмма 1  «Развитие системы дошкольного образования в городском округе Верхняя Тура»                                                                           </t>
  </si>
  <si>
    <t>Всего по подпрограмме 1, в том числе</t>
  </si>
  <si>
    <t>Прочие нужды</t>
  </si>
  <si>
    <t>Всего по направлению "Прочие нужды". В том числе:</t>
  </si>
  <si>
    <t>Мероприятие 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всего, в том числе:</t>
  </si>
  <si>
    <t>Мероприятие 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игрушек, всего в том числе:</t>
  </si>
  <si>
    <t>Мероприятие 3.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 - всего, из них</t>
  </si>
  <si>
    <t>Мероприятие 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</si>
  <si>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Всего по подпрограмме 5, в том числе</t>
  </si>
  <si>
    <t>Всего по подпрограмме 4, в том числе</t>
  </si>
  <si>
    <t>стр.5</t>
  </si>
  <si>
    <t>стр.4</t>
  </si>
  <si>
    <t>стр. 11,12,19,21,22</t>
  </si>
  <si>
    <t>стр. 26,27</t>
  </si>
  <si>
    <t>стр.29</t>
  </si>
  <si>
    <t>стр.24</t>
  </si>
  <si>
    <t>стр.33,34</t>
  </si>
  <si>
    <t>стр.38,39</t>
  </si>
  <si>
    <t>стр.43</t>
  </si>
  <si>
    <t>местный бюджет,всего</t>
  </si>
  <si>
    <t>Мероприятие 2. Организация мероприятий по укреплению материально-технической базы,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общего образования  в Городском округе Верхняя Тура - всего, из них</t>
  </si>
  <si>
    <t>Мероприятие 1. Организация отдыха и оздоровления детей и подростков в Городском округе Верхняя Тура - всего, из них</t>
  </si>
  <si>
    <t>Мероприятие 1.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всего, из них:</t>
  </si>
  <si>
    <t>Мероприятие 3. Осуществление мероприятий по организации питания в муниципальных общеобразовательных организациях, всего, из них:</t>
  </si>
  <si>
    <t>Мероприятие 5. Организация предоставления общего образования и создание условий для содержания детей в муниципальных общеобразовательных учреждениях всего, в том числе:</t>
  </si>
  <si>
    <t>Всего по подпрограмме 2 , в том числе</t>
  </si>
  <si>
    <t xml:space="preserve">в том числе выполнение обязательств по софинансированию расходов,осуществляемых за счет субсидий из областного бюджета </t>
  </si>
  <si>
    <t>Всего по направлению  «Прочие нужды » . В том числе:</t>
  </si>
  <si>
    <t xml:space="preserve"> Подпрограмма 2 «Развитие системы  общего образования в Городском округе Верхняя Тура»</t>
  </si>
  <si>
    <t>Мероприятие 4. Оборудование спортивных площадок в общеобразовательных организациях в Городском округе Верхняя Тура - всего, из них</t>
  </si>
  <si>
    <t>Мероприятие 5. Обеспечение условий реализации муниципальными образовательными организациями  образовательных программ естественно-научного цикла и профориентационной работы в Городском округе Верхняя Тура - всего, из них</t>
  </si>
  <si>
    <t>Мероприятие 7. Финансовое обеспечение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жизненой ситуации) в учебное время,включая мероприятия по обеспечению безопасности их жизни и здоровья всего, в том числе:</t>
  </si>
  <si>
    <t xml:space="preserve"> Подпрограмма 3 «Развитие системы  дополнительного образования в Городском округе Верхняя Тура»</t>
  </si>
  <si>
    <t xml:space="preserve">к постановлению Администрации Городского округа Верхняя Тура </t>
  </si>
  <si>
    <t>Мероприятие 2. Организация отдыха и оздоровления детей в каникулярное время.</t>
  </si>
  <si>
    <t>Мероприятие 6. Обеспечение дополнительных гарантий по социальной поддержке детей-сирот и детей, оставшихся без попечения родителей, лиц из числа детей-сирот,оставшихся без попеченияродителей,лиц, потерявших в период обучения обоих родителей или единственного родителя, обучающихся в муниципальных  образовательных организациях всего, в том числе:</t>
  </si>
  <si>
    <t>Приложение № 2</t>
  </si>
  <si>
    <t>Мероприятие 2. Обеспечение персонифицированного финансирования дополнительного образования детей - всего, из них</t>
  </si>
  <si>
    <t xml:space="preserve"> Мероприятие 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органи-зациях и финансовое обеспечение дополнительного образования детей в муниципальных общеобразова-тельных организациях в части финансирования расходов на приобретение учебников, учебных пособий, средств обучения, игр, игрушек всего, из них:</t>
  </si>
  <si>
    <t>Мероприятие 8.  Ежемесячное денежное вознаграждение за классное руководство педагогическим работникам общеобразовательных организаций всего, в том числе:</t>
  </si>
  <si>
    <t>Мероприятие 9. Организация бесплатного горячего питания обучающихся, получающих начальное общее образование в муниципальных организациях, расположенных на территории Свердловской областивсего, в том числе:</t>
  </si>
  <si>
    <t>Подпрограмма 6 «Развитие потенциала молодежи Городского округа Верхняя Тура»</t>
  </si>
  <si>
    <t>Мероприятие 1. Организация деятельности учреждений по работе с молодежью на территории  Городского округа Верхняя Тура - всего, из них</t>
  </si>
  <si>
    <t>Мероприятие 2. Организация движения трудовых отрядов, из них</t>
  </si>
  <si>
    <t>Мероприятие 3. Обеспечение мероприятий по реализации мер противодействия распостранению наркомании,алкоголизма и токсикомании,профилактики правонарушений на территории Городского округа Верхняя Тура - всего, из них</t>
  </si>
  <si>
    <t>Мероприятие 4.Мероприятия по пофилактике ВИЧ-инфекции на территррии Городского округа Верхняя Тура - всего, из них</t>
  </si>
  <si>
    <t>Мероприятие 5. Реализация мероприятий по патриатическому воспитанию граждан на территории  Городского округа Верхняя Тура - всего, из них</t>
  </si>
  <si>
    <t>Мероприятие 6. Укрепление и развитие материально-технической базы учреждений по работе с молодежью на территории Городском округе Верхняя Тура - всего, из них</t>
  </si>
  <si>
    <t>"О внесении изменений в постановление администрации Городского округа Верхняя Тура от 22.01.2015г №4 "Об утверждении муниципальной программы Городского округа Верхняя Тура "Развитие системы образования в Городском округе Верхняя Тура до 2024 года"</t>
  </si>
  <si>
    <t xml:space="preserve">«Развитие системы образования в Городском округе Верхняя Тура до 2024 года» </t>
  </si>
  <si>
    <t>Мероприятие 7.Развитие сети муниципальных учреждений по работе с молодежью за счет средств местного бюджета  - всего, из них</t>
  </si>
  <si>
    <t>Мероприятие 8.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  - всего, из них</t>
  </si>
  <si>
    <t xml:space="preserve">Мероприятие 10.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«Образование», в том числе федерального проекта «Патриотическое воспитание граждан Российской Федерации»
</t>
  </si>
  <si>
    <t>Всего по подпрограмме 6, в том числе</t>
  </si>
  <si>
    <t xml:space="preserve">от 13.12.2022  № 116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</si>
</sst>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3" borderId="1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" fontId="2" fillId="3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4" fontId="6" fillId="3" borderId="1" xfId="0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" fontId="1" fillId="0" borderId="0" xfId="0" applyNumberFormat="1" applyFont="1"/>
    <xf numFmtId="4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" xfId="0" applyFont="1" applyBorder="1"/>
    <xf numFmtId="0" fontId="5" fillId="3" borderId="1" xfId="0" applyFont="1" applyFill="1" applyBorder="1" applyAlignment="1">
      <alignment horizontal="center" vertical="top" wrapText="1"/>
    </xf>
    <xf numFmtId="4" fontId="5" fillId="3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4" fontId="5" fillId="3" borderId="5" xfId="0" applyNumberFormat="1" applyFont="1" applyFill="1" applyBorder="1" applyAlignment="1">
      <alignment horizontal="center" vertical="top" wrapText="1"/>
    </xf>
    <xf numFmtId="4" fontId="5" fillId="3" borderId="6" xfId="0" applyNumberFormat="1" applyFont="1" applyFill="1" applyBorder="1" applyAlignment="1">
      <alignment horizontal="center" vertical="top" wrapText="1"/>
    </xf>
    <xf numFmtId="4" fontId="5" fillId="3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3" borderId="8" xfId="0" applyNumberFormat="1" applyFont="1" applyFill="1" applyBorder="1" applyAlignment="1">
      <alignment horizontal="left" vertical="top" wrapText="1"/>
    </xf>
    <xf numFmtId="4" fontId="5" fillId="3" borderId="9" xfId="0" applyNumberFormat="1" applyFont="1" applyFill="1" applyBorder="1" applyAlignment="1">
      <alignment horizontal="left" vertical="top" wrapText="1"/>
    </xf>
    <xf numFmtId="4" fontId="5" fillId="3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showWhiteSpace="0" view="pageBreakPreview" zoomScale="85" zoomScaleNormal="85" zoomScaleSheetLayoutView="85" zoomScalePageLayoutView="85" workbookViewId="0">
      <selection activeCell="H3" sqref="H3"/>
    </sheetView>
  </sheetViews>
  <sheetFormatPr defaultColWidth="9.140625" defaultRowHeight="15.75" x14ac:dyDescent="0.25"/>
  <cols>
    <col min="1" max="1" width="5.5703125" style="1" customWidth="1"/>
    <col min="2" max="2" width="37.140625" style="1" customWidth="1"/>
    <col min="3" max="3" width="15.140625" style="1" customWidth="1"/>
    <col min="4" max="4" width="12.7109375" style="1" customWidth="1"/>
    <col min="5" max="5" width="13.85546875" style="1" customWidth="1"/>
    <col min="6" max="6" width="13.42578125" style="1" customWidth="1"/>
    <col min="7" max="7" width="14" style="1" customWidth="1"/>
    <col min="8" max="8" width="14.140625" style="1" customWidth="1"/>
    <col min="9" max="9" width="16.140625" style="1" customWidth="1"/>
    <col min="10" max="10" width="16.85546875" style="1" customWidth="1"/>
    <col min="11" max="13" width="16.140625" style="1" customWidth="1"/>
    <col min="14" max="14" width="18.7109375" style="1" customWidth="1"/>
    <col min="15" max="15" width="13.5703125" style="1" bestFit="1" customWidth="1"/>
    <col min="16" max="16384" width="9.140625" style="1"/>
  </cols>
  <sheetData>
    <row r="1" spans="1:15" ht="18" customHeight="1" x14ac:dyDescent="0.25">
      <c r="A1" s="64"/>
      <c r="B1" s="3"/>
      <c r="C1" s="3"/>
      <c r="D1" s="3"/>
      <c r="E1" s="4"/>
      <c r="F1" s="4"/>
      <c r="G1" s="4"/>
      <c r="H1" s="65" t="s">
        <v>57</v>
      </c>
      <c r="I1" s="65"/>
      <c r="J1" s="65"/>
      <c r="K1" s="65"/>
      <c r="L1" s="65"/>
      <c r="M1" s="65"/>
      <c r="N1" s="65"/>
    </row>
    <row r="2" spans="1:15" ht="20.25" customHeight="1" x14ac:dyDescent="0.25">
      <c r="A2" s="64"/>
      <c r="B2" s="3"/>
      <c r="C2" s="3"/>
      <c r="D2" s="3"/>
      <c r="E2" s="5"/>
      <c r="F2" s="5"/>
      <c r="G2" s="5"/>
      <c r="H2" s="66" t="s">
        <v>54</v>
      </c>
      <c r="I2" s="66"/>
      <c r="J2" s="66"/>
      <c r="K2" s="66"/>
      <c r="L2" s="66"/>
      <c r="M2" s="66"/>
      <c r="N2" s="66"/>
    </row>
    <row r="3" spans="1:15" ht="20.25" customHeight="1" x14ac:dyDescent="0.25">
      <c r="A3" s="64"/>
      <c r="B3" s="6"/>
      <c r="C3" s="6"/>
      <c r="D3" s="6"/>
      <c r="E3" s="4"/>
      <c r="F3" s="4"/>
      <c r="G3" s="4"/>
      <c r="H3" s="58" t="s">
        <v>75</v>
      </c>
      <c r="I3" s="58"/>
      <c r="J3" s="50"/>
      <c r="K3" s="50"/>
      <c r="L3" s="50"/>
      <c r="M3" s="54"/>
      <c r="N3" s="50"/>
    </row>
    <row r="4" spans="1:15" ht="66.75" customHeight="1" x14ac:dyDescent="0.25">
      <c r="A4" s="49"/>
      <c r="B4" s="6"/>
      <c r="C4" s="6"/>
      <c r="D4" s="6"/>
      <c r="E4" s="7"/>
      <c r="F4" s="7"/>
      <c r="G4" s="7"/>
      <c r="H4" s="67" t="s">
        <v>69</v>
      </c>
      <c r="I4" s="67"/>
      <c r="J4" s="67"/>
      <c r="K4" s="67"/>
      <c r="L4" s="67"/>
      <c r="M4" s="67"/>
      <c r="N4" s="67"/>
    </row>
    <row r="5" spans="1:15" ht="32.25" customHeight="1" x14ac:dyDescent="0.25">
      <c r="A5" s="49"/>
      <c r="B5" s="6"/>
      <c r="C5" s="6"/>
      <c r="D5" s="6"/>
      <c r="E5" s="6"/>
      <c r="F5" s="6"/>
      <c r="G5" s="6"/>
      <c r="H5" s="8"/>
      <c r="I5" s="8"/>
      <c r="J5" s="8"/>
      <c r="K5" s="8"/>
      <c r="L5" s="8"/>
      <c r="M5" s="8"/>
      <c r="N5" s="8"/>
    </row>
    <row r="6" spans="1:15" x14ac:dyDescent="0.25">
      <c r="A6" s="64" t="s">
        <v>12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5" x14ac:dyDescent="0.25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5" x14ac:dyDescent="0.25">
      <c r="A8" s="71" t="s">
        <v>70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 ht="56.25" customHeight="1" x14ac:dyDescent="0.25">
      <c r="A10" s="72" t="s">
        <v>6</v>
      </c>
      <c r="B10" s="72" t="s">
        <v>7</v>
      </c>
      <c r="C10" s="73" t="s">
        <v>8</v>
      </c>
      <c r="D10" s="74"/>
      <c r="E10" s="74"/>
      <c r="F10" s="74"/>
      <c r="G10" s="74"/>
      <c r="H10" s="74"/>
      <c r="I10" s="74"/>
      <c r="J10" s="74"/>
      <c r="K10" s="75"/>
      <c r="L10" s="48"/>
      <c r="M10" s="53"/>
      <c r="N10" s="72" t="s">
        <v>9</v>
      </c>
    </row>
    <row r="11" spans="1:15" ht="54" customHeight="1" x14ac:dyDescent="0.25">
      <c r="A11" s="72"/>
      <c r="B11" s="72"/>
      <c r="C11" s="14" t="s">
        <v>0</v>
      </c>
      <c r="D11" s="14">
        <v>2015</v>
      </c>
      <c r="E11" s="14">
        <v>2016</v>
      </c>
      <c r="F11" s="14">
        <v>2017</v>
      </c>
      <c r="G11" s="14">
        <v>2018</v>
      </c>
      <c r="H11" s="14">
        <v>2019</v>
      </c>
      <c r="I11" s="14">
        <v>2020</v>
      </c>
      <c r="J11" s="14">
        <v>2021</v>
      </c>
      <c r="K11" s="14">
        <v>2022</v>
      </c>
      <c r="L11" s="14">
        <v>2023</v>
      </c>
      <c r="M11" s="14">
        <v>2024</v>
      </c>
      <c r="N11" s="72"/>
    </row>
    <row r="12" spans="1:15" ht="18" x14ac:dyDescent="0.25">
      <c r="A12" s="47">
        <v>1</v>
      </c>
      <c r="B12" s="47">
        <v>2</v>
      </c>
      <c r="C12" s="47">
        <v>3</v>
      </c>
      <c r="D12" s="40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/>
      <c r="K12" s="47"/>
      <c r="L12" s="47"/>
      <c r="M12" s="52"/>
      <c r="N12" s="47">
        <v>10</v>
      </c>
    </row>
    <row r="13" spans="1:15" ht="33.75" customHeight="1" x14ac:dyDescent="0.25">
      <c r="A13" s="45">
        <v>1</v>
      </c>
      <c r="B13" s="46" t="s">
        <v>10</v>
      </c>
      <c r="C13" s="11">
        <f>SUM(D13:M13)</f>
        <v>2255103.9899999998</v>
      </c>
      <c r="D13" s="11">
        <f t="shared" ref="D13:I13" si="0">D14+D15+D16+D17</f>
        <v>158085.79999999999</v>
      </c>
      <c r="E13" s="11">
        <f>E14+E15+E16+E17</f>
        <v>170832.8</v>
      </c>
      <c r="F13" s="33">
        <f t="shared" si="0"/>
        <v>177106.1</v>
      </c>
      <c r="G13" s="11">
        <f>G14+G15+G16+G17</f>
        <v>201561.89999999997</v>
      </c>
      <c r="H13" s="11">
        <f t="shared" si="0"/>
        <v>205276.58000000002</v>
      </c>
      <c r="I13" s="11">
        <f t="shared" si="0"/>
        <v>224784.31</v>
      </c>
      <c r="J13" s="11">
        <f>J14+J15+J16+J17</f>
        <v>254745.55</v>
      </c>
      <c r="K13" s="11">
        <f>K14+K15+K16+K17</f>
        <v>291247.83999999997</v>
      </c>
      <c r="L13" s="11">
        <f>L14+L15+L16+L17</f>
        <v>280060.23</v>
      </c>
      <c r="M13" s="11">
        <f>M14+M15+M16+M17</f>
        <v>291402.88</v>
      </c>
      <c r="N13" s="14" t="s">
        <v>1</v>
      </c>
      <c r="O13" s="36"/>
    </row>
    <row r="14" spans="1:15" x14ac:dyDescent="0.25">
      <c r="A14" s="47">
        <v>2</v>
      </c>
      <c r="B14" s="14" t="s">
        <v>4</v>
      </c>
      <c r="C14" s="11">
        <f t="shared" ref="C14:C22" si="1">SUM(D14:M14)</f>
        <v>863741.44000000006</v>
      </c>
      <c r="D14" s="13">
        <f t="shared" ref="D14:H14" si="2">D19</f>
        <v>72888.3</v>
      </c>
      <c r="E14" s="13">
        <f t="shared" si="2"/>
        <v>57902.599999999991</v>
      </c>
      <c r="F14" s="13">
        <f>F19</f>
        <v>60760.5</v>
      </c>
      <c r="G14" s="13">
        <f>G19</f>
        <v>64553.099999999991</v>
      </c>
      <c r="H14" s="13">
        <f t="shared" si="2"/>
        <v>71584.28</v>
      </c>
      <c r="I14" s="13">
        <f>I19</f>
        <v>84206.290000000008</v>
      </c>
      <c r="J14" s="13">
        <f>J19</f>
        <v>101882.35</v>
      </c>
      <c r="K14" s="13">
        <f>K19</f>
        <v>124470.91</v>
      </c>
      <c r="L14" s="13">
        <f>L19</f>
        <v>108828.83</v>
      </c>
      <c r="M14" s="13">
        <f>M19</f>
        <v>116664.28</v>
      </c>
      <c r="N14" s="14" t="s">
        <v>1</v>
      </c>
    </row>
    <row r="15" spans="1:15" ht="17.25" customHeight="1" x14ac:dyDescent="0.25">
      <c r="A15" s="47">
        <v>3</v>
      </c>
      <c r="B15" s="14" t="s">
        <v>2</v>
      </c>
      <c r="C15" s="11">
        <f t="shared" si="1"/>
        <v>39632.960000000006</v>
      </c>
      <c r="D15" s="13"/>
      <c r="E15" s="13"/>
      <c r="F15" s="13"/>
      <c r="G15" s="13"/>
      <c r="H15" s="13"/>
      <c r="I15" s="13">
        <f>I20</f>
        <v>3141.72</v>
      </c>
      <c r="J15" s="13">
        <f>J20</f>
        <v>8064.7</v>
      </c>
      <c r="K15" s="13">
        <f>K20</f>
        <v>8312.16</v>
      </c>
      <c r="L15" s="13">
        <f t="shared" ref="L15:M16" si="3">L20</f>
        <v>9997.5600000000013</v>
      </c>
      <c r="M15" s="13">
        <f t="shared" si="3"/>
        <v>10116.82</v>
      </c>
      <c r="N15" s="14"/>
    </row>
    <row r="16" spans="1:15" x14ac:dyDescent="0.25">
      <c r="A16" s="47">
        <v>4</v>
      </c>
      <c r="B16" s="14" t="s">
        <v>3</v>
      </c>
      <c r="C16" s="11">
        <f t="shared" si="1"/>
        <v>1338529.5900000001</v>
      </c>
      <c r="D16" s="13">
        <f t="shared" ref="D16:K16" si="4">D21</f>
        <v>85197.5</v>
      </c>
      <c r="E16" s="13">
        <f t="shared" si="4"/>
        <v>112930.2</v>
      </c>
      <c r="F16" s="13">
        <f>F21</f>
        <v>116345.60000000001</v>
      </c>
      <c r="G16" s="13">
        <f t="shared" si="4"/>
        <v>123808.79999999999</v>
      </c>
      <c r="H16" s="13">
        <f t="shared" si="4"/>
        <v>133692.30000000002</v>
      </c>
      <c r="I16" s="13">
        <f t="shared" si="4"/>
        <v>137436.29999999999</v>
      </c>
      <c r="J16" s="13">
        <f t="shared" si="4"/>
        <v>144798.5</v>
      </c>
      <c r="K16" s="13">
        <f t="shared" si="4"/>
        <v>158464.76999999999</v>
      </c>
      <c r="L16" s="13">
        <f t="shared" si="3"/>
        <v>161233.84</v>
      </c>
      <c r="M16" s="13">
        <f t="shared" si="3"/>
        <v>164621.78</v>
      </c>
      <c r="N16" s="14" t="s">
        <v>1</v>
      </c>
    </row>
    <row r="17" spans="1:14" x14ac:dyDescent="0.25">
      <c r="A17" s="47">
        <v>5</v>
      </c>
      <c r="B17" s="14" t="s">
        <v>5</v>
      </c>
      <c r="C17" s="11">
        <f t="shared" si="1"/>
        <v>13200</v>
      </c>
      <c r="D17" s="14"/>
      <c r="E17" s="14"/>
      <c r="F17" s="13">
        <f>F22</f>
        <v>0</v>
      </c>
      <c r="G17" s="13">
        <f>G22</f>
        <v>13200</v>
      </c>
      <c r="H17" s="14"/>
      <c r="I17" s="14"/>
      <c r="J17" s="14"/>
      <c r="K17" s="14"/>
      <c r="L17" s="14"/>
      <c r="M17" s="14"/>
      <c r="N17" s="14"/>
    </row>
    <row r="18" spans="1:14" ht="30" x14ac:dyDescent="0.25">
      <c r="A18" s="47">
        <v>6</v>
      </c>
      <c r="B18" s="18" t="s">
        <v>48</v>
      </c>
      <c r="C18" s="11">
        <f t="shared" si="1"/>
        <v>2255103.9899999998</v>
      </c>
      <c r="D18" s="34">
        <f t="shared" ref="D18:L18" si="5">D19+D20+D21+D22</f>
        <v>158085.79999999999</v>
      </c>
      <c r="E18" s="34">
        <f t="shared" si="5"/>
        <v>170832.8</v>
      </c>
      <c r="F18" s="34">
        <f t="shared" si="5"/>
        <v>177106.1</v>
      </c>
      <c r="G18" s="34">
        <f>G19+G20+G21+G22</f>
        <v>201561.89999999997</v>
      </c>
      <c r="H18" s="34">
        <f t="shared" si="5"/>
        <v>205276.58000000002</v>
      </c>
      <c r="I18" s="34">
        <f t="shared" si="5"/>
        <v>224784.31</v>
      </c>
      <c r="J18" s="34">
        <f t="shared" si="5"/>
        <v>254745.55</v>
      </c>
      <c r="K18" s="34">
        <f t="shared" si="5"/>
        <v>291247.83999999997</v>
      </c>
      <c r="L18" s="34">
        <f t="shared" si="5"/>
        <v>280060.23</v>
      </c>
      <c r="M18" s="34">
        <f t="shared" ref="M18" si="6">M19+M20+M21+M22</f>
        <v>291402.88</v>
      </c>
      <c r="N18" s="45"/>
    </row>
    <row r="19" spans="1:14" x14ac:dyDescent="0.25">
      <c r="A19" s="47">
        <v>7</v>
      </c>
      <c r="B19" s="14" t="s">
        <v>4</v>
      </c>
      <c r="C19" s="11">
        <f t="shared" si="1"/>
        <v>863741.44000000006</v>
      </c>
      <c r="D19" s="24">
        <f t="shared" ref="D19:I19" si="7">D25+D43+D104+D125+D146</f>
        <v>72888.3</v>
      </c>
      <c r="E19" s="24">
        <f t="shared" si="7"/>
        <v>57902.599999999991</v>
      </c>
      <c r="F19" s="24">
        <f t="shared" si="7"/>
        <v>60760.5</v>
      </c>
      <c r="G19" s="24">
        <f t="shared" si="7"/>
        <v>64553.099999999991</v>
      </c>
      <c r="H19" s="24">
        <f t="shared" si="7"/>
        <v>71584.28</v>
      </c>
      <c r="I19" s="24">
        <f t="shared" si="7"/>
        <v>84206.290000000008</v>
      </c>
      <c r="J19" s="24">
        <f t="shared" ref="J19:M21" si="8">J25+J43+J104+J125+J146+J183</f>
        <v>101882.35</v>
      </c>
      <c r="K19" s="24">
        <f t="shared" si="8"/>
        <v>124470.91</v>
      </c>
      <c r="L19" s="24">
        <f t="shared" si="8"/>
        <v>108828.83</v>
      </c>
      <c r="M19" s="24">
        <f t="shared" si="8"/>
        <v>116664.28</v>
      </c>
      <c r="N19" s="35"/>
    </row>
    <row r="20" spans="1:14" x14ac:dyDescent="0.25">
      <c r="A20" s="47">
        <v>8</v>
      </c>
      <c r="B20" s="14" t="s">
        <v>2</v>
      </c>
      <c r="C20" s="11">
        <f t="shared" si="1"/>
        <v>39632.960000000006</v>
      </c>
      <c r="D20" s="24"/>
      <c r="E20" s="24"/>
      <c r="F20" s="24"/>
      <c r="G20" s="24"/>
      <c r="H20" s="24"/>
      <c r="I20" s="24">
        <f>I26+I44+I105+I126+I147</f>
        <v>3141.72</v>
      </c>
      <c r="J20" s="24">
        <f t="shared" si="8"/>
        <v>8064.7</v>
      </c>
      <c r="K20" s="24">
        <f t="shared" si="8"/>
        <v>8312.16</v>
      </c>
      <c r="L20" s="24">
        <f t="shared" si="8"/>
        <v>9997.5600000000013</v>
      </c>
      <c r="M20" s="24">
        <f t="shared" si="8"/>
        <v>10116.82</v>
      </c>
      <c r="N20" s="35"/>
    </row>
    <row r="21" spans="1:14" x14ac:dyDescent="0.25">
      <c r="A21" s="47">
        <v>9</v>
      </c>
      <c r="B21" s="14" t="s">
        <v>3</v>
      </c>
      <c r="C21" s="11">
        <f t="shared" si="1"/>
        <v>1338529.5900000001</v>
      </c>
      <c r="D21" s="24">
        <f>D27+D45+D106+D127+D148</f>
        <v>85197.5</v>
      </c>
      <c r="E21" s="24">
        <f>E27+E45+E106+E127+E148</f>
        <v>112930.2</v>
      </c>
      <c r="F21" s="24">
        <f>F27+F45+F106+F127+F148</f>
        <v>116345.60000000001</v>
      </c>
      <c r="G21" s="24">
        <f>G27+G45+G106+G127+G148</f>
        <v>123808.79999999999</v>
      </c>
      <c r="H21" s="24">
        <f>H27+H45+H106+H127+H148</f>
        <v>133692.30000000002</v>
      </c>
      <c r="I21" s="24">
        <f>I27+I45+I106+I127+I148</f>
        <v>137436.29999999999</v>
      </c>
      <c r="J21" s="24">
        <f t="shared" si="8"/>
        <v>144798.5</v>
      </c>
      <c r="K21" s="24">
        <f t="shared" si="8"/>
        <v>158464.76999999999</v>
      </c>
      <c r="L21" s="24">
        <f t="shared" si="8"/>
        <v>161233.84</v>
      </c>
      <c r="M21" s="24">
        <f t="shared" si="8"/>
        <v>164621.78</v>
      </c>
      <c r="N21" s="35"/>
    </row>
    <row r="22" spans="1:14" x14ac:dyDescent="0.25">
      <c r="A22" s="47">
        <v>10</v>
      </c>
      <c r="B22" s="14" t="s">
        <v>5</v>
      </c>
      <c r="C22" s="11">
        <f t="shared" si="1"/>
        <v>13200</v>
      </c>
      <c r="D22" s="47"/>
      <c r="E22" s="47"/>
      <c r="F22" s="24"/>
      <c r="G22" s="24">
        <f>G149</f>
        <v>13200</v>
      </c>
      <c r="H22" s="47"/>
      <c r="I22" s="47"/>
      <c r="J22" s="47"/>
      <c r="K22" s="47"/>
      <c r="L22" s="47"/>
      <c r="M22" s="52"/>
      <c r="N22" s="35"/>
    </row>
    <row r="23" spans="1:14" x14ac:dyDescent="0.25">
      <c r="A23" s="47">
        <v>11</v>
      </c>
      <c r="B23" s="76" t="s">
        <v>21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30" x14ac:dyDescent="0.25">
      <c r="A24" s="47">
        <v>12</v>
      </c>
      <c r="B24" s="46" t="s">
        <v>22</v>
      </c>
      <c r="C24" s="11">
        <f>C25+C27</f>
        <v>916384.27</v>
      </c>
      <c r="D24" s="11">
        <f t="shared" ref="D24:J24" si="9">D25+D27</f>
        <v>66354.399999999994</v>
      </c>
      <c r="E24" s="11">
        <f t="shared" si="9"/>
        <v>72930.3</v>
      </c>
      <c r="F24" s="11">
        <f t="shared" si="9"/>
        <v>75138.3</v>
      </c>
      <c r="G24" s="11">
        <f t="shared" si="9"/>
        <v>81397.399999999994</v>
      </c>
      <c r="H24" s="11">
        <f t="shared" si="9"/>
        <v>89998.27</v>
      </c>
      <c r="I24" s="11">
        <f t="shared" si="9"/>
        <v>94116.67</v>
      </c>
      <c r="J24" s="11">
        <f t="shared" si="9"/>
        <v>100557.04000000001</v>
      </c>
      <c r="K24" s="11">
        <f>K25+K27</f>
        <v>107805.34</v>
      </c>
      <c r="L24" s="11">
        <f>L25+L27</f>
        <v>113286.55</v>
      </c>
      <c r="M24" s="11">
        <f t="shared" ref="M24" si="10">M25+M27</f>
        <v>114800</v>
      </c>
      <c r="N24" s="14" t="s">
        <v>1</v>
      </c>
    </row>
    <row r="25" spans="1:14" x14ac:dyDescent="0.25">
      <c r="A25" s="47">
        <v>13</v>
      </c>
      <c r="B25" s="14" t="s">
        <v>4</v>
      </c>
      <c r="C25" s="13">
        <f>C40</f>
        <v>338022.77</v>
      </c>
      <c r="D25" s="13">
        <f>D40</f>
        <v>34690.400000000001</v>
      </c>
      <c r="E25" s="13">
        <f t="shared" ref="E25:H25" si="11">E40</f>
        <v>25208.3</v>
      </c>
      <c r="F25" s="13">
        <f t="shared" si="11"/>
        <v>26031.3</v>
      </c>
      <c r="G25" s="13">
        <f t="shared" si="11"/>
        <v>28287.199999999997</v>
      </c>
      <c r="H25" s="13">
        <f t="shared" si="11"/>
        <v>32532.57</v>
      </c>
      <c r="I25" s="13">
        <f>I40</f>
        <v>34038.07</v>
      </c>
      <c r="J25" s="13">
        <f t="shared" ref="J25:K25" si="12">J40</f>
        <v>36342.04</v>
      </c>
      <c r="K25" s="13">
        <f t="shared" si="12"/>
        <v>38328.339999999997</v>
      </c>
      <c r="L25" s="13">
        <f>L40</f>
        <v>41264.550000000003</v>
      </c>
      <c r="M25" s="13">
        <f t="shared" ref="M25" si="13">M40</f>
        <v>41300</v>
      </c>
      <c r="N25" s="14" t="s">
        <v>1</v>
      </c>
    </row>
    <row r="26" spans="1:14" x14ac:dyDescent="0.25">
      <c r="A26" s="47">
        <v>14</v>
      </c>
      <c r="B26" s="14" t="s">
        <v>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  <row r="27" spans="1:14" x14ac:dyDescent="0.25">
      <c r="A27" s="47">
        <v>15</v>
      </c>
      <c r="B27" s="14" t="s">
        <v>3</v>
      </c>
      <c r="C27" s="13">
        <f>C36+C38</f>
        <v>578361.5</v>
      </c>
      <c r="D27" s="13">
        <f t="shared" ref="D27:H27" si="14">D36+D38</f>
        <v>31664</v>
      </c>
      <c r="E27" s="13">
        <f t="shared" si="14"/>
        <v>47722</v>
      </c>
      <c r="F27" s="13">
        <f t="shared" si="14"/>
        <v>49107</v>
      </c>
      <c r="G27" s="13">
        <f t="shared" si="14"/>
        <v>53110.2</v>
      </c>
      <c r="H27" s="13">
        <f t="shared" si="14"/>
        <v>57465.700000000004</v>
      </c>
      <c r="I27" s="13">
        <f>I36+I38</f>
        <v>60078.6</v>
      </c>
      <c r="J27" s="13">
        <f t="shared" ref="J27:K27" si="15">J36+J38</f>
        <v>64215</v>
      </c>
      <c r="K27" s="13">
        <f t="shared" si="15"/>
        <v>69477</v>
      </c>
      <c r="L27" s="13">
        <f>L36+L38</f>
        <v>72022</v>
      </c>
      <c r="M27" s="13">
        <f t="shared" ref="M27" si="16">M36+M38</f>
        <v>73500</v>
      </c>
      <c r="N27" s="14" t="s">
        <v>1</v>
      </c>
    </row>
    <row r="28" spans="1:14" ht="14.25" customHeight="1" x14ac:dyDescent="0.25">
      <c r="A28" s="47">
        <v>16</v>
      </c>
      <c r="B28" s="14" t="s">
        <v>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x14ac:dyDescent="0.25">
      <c r="A29" s="47">
        <v>17</v>
      </c>
      <c r="B29" s="77" t="s">
        <v>23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33" customHeight="1" x14ac:dyDescent="0.25">
      <c r="A30" s="47">
        <v>18</v>
      </c>
      <c r="B30" s="18" t="s">
        <v>48</v>
      </c>
      <c r="C30" s="24">
        <f>C31+C33</f>
        <v>916384.27</v>
      </c>
      <c r="D30" s="24">
        <f t="shared" ref="D30:K30" si="17">D31+D33</f>
        <v>66354.399999999994</v>
      </c>
      <c r="E30" s="24">
        <f t="shared" si="17"/>
        <v>72930.3</v>
      </c>
      <c r="F30" s="24">
        <f t="shared" si="17"/>
        <v>75138.3</v>
      </c>
      <c r="G30" s="24">
        <f t="shared" si="17"/>
        <v>81397.399999999994</v>
      </c>
      <c r="H30" s="24">
        <f t="shared" si="17"/>
        <v>89998.27</v>
      </c>
      <c r="I30" s="24">
        <f t="shared" si="17"/>
        <v>94116.67</v>
      </c>
      <c r="J30" s="24">
        <f t="shared" si="17"/>
        <v>100557.04000000001</v>
      </c>
      <c r="K30" s="24">
        <f t="shared" si="17"/>
        <v>107805.34</v>
      </c>
      <c r="L30" s="24">
        <f>L31+L33</f>
        <v>113286.55</v>
      </c>
      <c r="M30" s="24">
        <f t="shared" ref="M30" si="18">M31+M33</f>
        <v>114800</v>
      </c>
      <c r="N30" s="45"/>
    </row>
    <row r="31" spans="1:14" x14ac:dyDescent="0.25">
      <c r="A31" s="47">
        <v>19</v>
      </c>
      <c r="B31" s="14" t="s">
        <v>4</v>
      </c>
      <c r="C31" s="24">
        <f>SUM(D31:M31)</f>
        <v>338022.77</v>
      </c>
      <c r="D31" s="24">
        <f t="shared" ref="D31:J31" si="19">D40</f>
        <v>34690.400000000001</v>
      </c>
      <c r="E31" s="24">
        <f t="shared" si="19"/>
        <v>25208.3</v>
      </c>
      <c r="F31" s="24">
        <f t="shared" si="19"/>
        <v>26031.3</v>
      </c>
      <c r="G31" s="24">
        <f t="shared" si="19"/>
        <v>28287.199999999997</v>
      </c>
      <c r="H31" s="24">
        <f t="shared" si="19"/>
        <v>32532.57</v>
      </c>
      <c r="I31" s="24">
        <f t="shared" si="19"/>
        <v>34038.07</v>
      </c>
      <c r="J31" s="24">
        <f t="shared" si="19"/>
        <v>36342.04</v>
      </c>
      <c r="K31" s="24">
        <f>K40</f>
        <v>38328.339999999997</v>
      </c>
      <c r="L31" s="24">
        <f>L40</f>
        <v>41264.550000000003</v>
      </c>
      <c r="M31" s="24">
        <f t="shared" ref="M31" si="20">M40</f>
        <v>41300</v>
      </c>
      <c r="N31" s="35"/>
    </row>
    <row r="32" spans="1:14" ht="19.5" customHeight="1" x14ac:dyDescent="0.25">
      <c r="A32" s="47">
        <v>20</v>
      </c>
      <c r="B32" s="14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5"/>
    </row>
    <row r="33" spans="1:14" x14ac:dyDescent="0.25">
      <c r="A33" s="47">
        <v>21</v>
      </c>
      <c r="B33" s="14" t="s">
        <v>3</v>
      </c>
      <c r="C33" s="24">
        <f>SUM(D33:M33)</f>
        <v>578361.5</v>
      </c>
      <c r="D33" s="24">
        <f t="shared" ref="D33:K33" si="21">D36+D38</f>
        <v>31664</v>
      </c>
      <c r="E33" s="24">
        <f t="shared" si="21"/>
        <v>47722</v>
      </c>
      <c r="F33" s="24">
        <f t="shared" si="21"/>
        <v>49107</v>
      </c>
      <c r="G33" s="24">
        <f t="shared" si="21"/>
        <v>53110.2</v>
      </c>
      <c r="H33" s="24">
        <f t="shared" si="21"/>
        <v>57465.700000000004</v>
      </c>
      <c r="I33" s="24">
        <f t="shared" si="21"/>
        <v>60078.6</v>
      </c>
      <c r="J33" s="24">
        <f t="shared" si="21"/>
        <v>64215</v>
      </c>
      <c r="K33" s="24">
        <f t="shared" si="21"/>
        <v>69477</v>
      </c>
      <c r="L33" s="24">
        <f>L36+L38</f>
        <v>72022</v>
      </c>
      <c r="M33" s="24">
        <f t="shared" ref="M33" si="22">M36+M38</f>
        <v>73500</v>
      </c>
      <c r="N33" s="35"/>
    </row>
    <row r="34" spans="1:14" ht="15.75" customHeight="1" x14ac:dyDescent="0.25">
      <c r="A34" s="47">
        <v>22</v>
      </c>
      <c r="B34" s="14" t="s">
        <v>5</v>
      </c>
      <c r="C34" s="45"/>
      <c r="D34" s="45"/>
      <c r="E34" s="45"/>
      <c r="F34" s="45"/>
      <c r="G34" s="45"/>
      <c r="H34" s="45"/>
      <c r="I34" s="45"/>
      <c r="J34" s="56"/>
      <c r="K34" s="56"/>
      <c r="L34" s="56"/>
      <c r="M34" s="56"/>
      <c r="N34" s="35"/>
    </row>
    <row r="35" spans="1:14" ht="188.25" customHeight="1" x14ac:dyDescent="0.25">
      <c r="A35" s="47">
        <v>23</v>
      </c>
      <c r="B35" s="12" t="s">
        <v>25</v>
      </c>
      <c r="C35" s="24">
        <f t="shared" ref="C35:C40" si="23">SUM(D35:M35)</f>
        <v>570441.5</v>
      </c>
      <c r="D35" s="13">
        <f>30939+118</f>
        <v>31057</v>
      </c>
      <c r="E35" s="13">
        <f>46255.2-142.2-735.7+1586.7</f>
        <v>46964</v>
      </c>
      <c r="F35" s="13">
        <f>48534-200</f>
        <v>48334</v>
      </c>
      <c r="G35" s="13">
        <f>49093-31+3244.2</f>
        <v>52306.2</v>
      </c>
      <c r="H35" s="13">
        <f>54895+1218.8+334+204.9</f>
        <v>56652.700000000004</v>
      </c>
      <c r="I35" s="13">
        <f>60244-1008.4</f>
        <v>59235.6</v>
      </c>
      <c r="J35" s="13">
        <f>65394-2031</f>
        <v>63363</v>
      </c>
      <c r="K35" s="13">
        <f>66835+1831</f>
        <v>68666</v>
      </c>
      <c r="L35" s="13">
        <v>71209</v>
      </c>
      <c r="M35" s="13">
        <v>72654</v>
      </c>
      <c r="N35" s="14" t="s">
        <v>31</v>
      </c>
    </row>
    <row r="36" spans="1:14" x14ac:dyDescent="0.25">
      <c r="A36" s="47">
        <v>24</v>
      </c>
      <c r="B36" s="14" t="s">
        <v>3</v>
      </c>
      <c r="C36" s="24">
        <f t="shared" si="23"/>
        <v>570441.5</v>
      </c>
      <c r="D36" s="13">
        <f>D35</f>
        <v>31057</v>
      </c>
      <c r="E36" s="13">
        <f t="shared" ref="E36:H36" si="24">E35</f>
        <v>46964</v>
      </c>
      <c r="F36" s="13">
        <f>F35</f>
        <v>48334</v>
      </c>
      <c r="G36" s="13">
        <f>G35</f>
        <v>52306.2</v>
      </c>
      <c r="H36" s="13">
        <f t="shared" si="24"/>
        <v>56652.700000000004</v>
      </c>
      <c r="I36" s="13">
        <f>I35</f>
        <v>59235.6</v>
      </c>
      <c r="J36" s="13">
        <f>J35</f>
        <v>63363</v>
      </c>
      <c r="K36" s="13">
        <f>K35</f>
        <v>68666</v>
      </c>
      <c r="L36" s="13">
        <f>L35</f>
        <v>71209</v>
      </c>
      <c r="M36" s="13">
        <f>M35</f>
        <v>72654</v>
      </c>
      <c r="N36" s="14"/>
    </row>
    <row r="37" spans="1:14" ht="189" customHeight="1" x14ac:dyDescent="0.25">
      <c r="A37" s="47">
        <v>25</v>
      </c>
      <c r="B37" s="12" t="s">
        <v>26</v>
      </c>
      <c r="C37" s="24">
        <f t="shared" si="23"/>
        <v>7920</v>
      </c>
      <c r="D37" s="13">
        <v>607</v>
      </c>
      <c r="E37" s="13">
        <f>615.8+142.2</f>
        <v>758</v>
      </c>
      <c r="F37" s="13">
        <v>773</v>
      </c>
      <c r="G37" s="13">
        <f>773+31</f>
        <v>804</v>
      </c>
      <c r="H37" s="13">
        <v>813</v>
      </c>
      <c r="I37" s="13">
        <v>843</v>
      </c>
      <c r="J37" s="13">
        <v>852</v>
      </c>
      <c r="K37" s="13">
        <f>782+29</f>
        <v>811</v>
      </c>
      <c r="L37" s="13">
        <v>813</v>
      </c>
      <c r="M37" s="13">
        <v>846</v>
      </c>
      <c r="N37" s="14" t="s">
        <v>32</v>
      </c>
    </row>
    <row r="38" spans="1:14" x14ac:dyDescent="0.25">
      <c r="A38" s="47">
        <v>26</v>
      </c>
      <c r="B38" s="14" t="s">
        <v>3</v>
      </c>
      <c r="C38" s="24">
        <f t="shared" si="23"/>
        <v>7920</v>
      </c>
      <c r="D38" s="15">
        <f t="shared" ref="D38:I38" si="25">D37</f>
        <v>607</v>
      </c>
      <c r="E38" s="15">
        <f t="shared" si="25"/>
        <v>758</v>
      </c>
      <c r="F38" s="15">
        <f t="shared" si="25"/>
        <v>773</v>
      </c>
      <c r="G38" s="15">
        <f>G37</f>
        <v>804</v>
      </c>
      <c r="H38" s="15">
        <f t="shared" si="25"/>
        <v>813</v>
      </c>
      <c r="I38" s="15">
        <f t="shared" si="25"/>
        <v>843</v>
      </c>
      <c r="J38" s="15">
        <f>J37</f>
        <v>852</v>
      </c>
      <c r="K38" s="15">
        <f t="shared" ref="K38:L38" si="26">K37</f>
        <v>811</v>
      </c>
      <c r="L38" s="15">
        <f t="shared" si="26"/>
        <v>813</v>
      </c>
      <c r="M38" s="15">
        <f t="shared" ref="M38" si="27">M37</f>
        <v>846</v>
      </c>
      <c r="N38" s="14"/>
    </row>
    <row r="39" spans="1:14" ht="111.75" customHeight="1" x14ac:dyDescent="0.25">
      <c r="A39" s="47">
        <v>27</v>
      </c>
      <c r="B39" s="16" t="s">
        <v>27</v>
      </c>
      <c r="C39" s="24">
        <f t="shared" si="23"/>
        <v>338022.77</v>
      </c>
      <c r="D39" s="13">
        <f>34642.9+36.5+11</f>
        <v>34690.400000000001</v>
      </c>
      <c r="E39" s="15">
        <f>26708.3-1500</f>
        <v>25208.3</v>
      </c>
      <c r="F39" s="15">
        <f>26521.3-490</f>
        <v>26031.3</v>
      </c>
      <c r="G39" s="17">
        <f>27804.6+272.6+210</f>
        <v>28287.199999999997</v>
      </c>
      <c r="H39" s="15">
        <f>34571.26+269.95-1221.64-437-650</f>
        <v>32532.57</v>
      </c>
      <c r="I39" s="15">
        <f>34972.07-934</f>
        <v>34038.07</v>
      </c>
      <c r="J39" s="15">
        <v>36342.04</v>
      </c>
      <c r="K39" s="15">
        <f>K40</f>
        <v>38328.339999999997</v>
      </c>
      <c r="L39" s="15">
        <f t="shared" ref="L39:M39" si="28">L40</f>
        <v>41264.550000000003</v>
      </c>
      <c r="M39" s="15">
        <f t="shared" si="28"/>
        <v>41300</v>
      </c>
      <c r="N39" s="14" t="s">
        <v>32</v>
      </c>
    </row>
    <row r="40" spans="1:14" x14ac:dyDescent="0.25">
      <c r="A40" s="47">
        <v>28</v>
      </c>
      <c r="B40" s="14" t="s">
        <v>4</v>
      </c>
      <c r="C40" s="24">
        <f t="shared" si="23"/>
        <v>338022.77</v>
      </c>
      <c r="D40" s="13">
        <f t="shared" ref="D40:J40" si="29">D39</f>
        <v>34690.400000000001</v>
      </c>
      <c r="E40" s="13">
        <f t="shared" si="29"/>
        <v>25208.3</v>
      </c>
      <c r="F40" s="13">
        <f t="shared" si="29"/>
        <v>26031.3</v>
      </c>
      <c r="G40" s="13">
        <f t="shared" si="29"/>
        <v>28287.199999999997</v>
      </c>
      <c r="H40" s="13">
        <f t="shared" si="29"/>
        <v>32532.57</v>
      </c>
      <c r="I40" s="13">
        <f t="shared" si="29"/>
        <v>34038.07</v>
      </c>
      <c r="J40" s="13">
        <f t="shared" si="29"/>
        <v>36342.04</v>
      </c>
      <c r="K40" s="13">
        <f>37838.84+489.5</f>
        <v>38328.339999999997</v>
      </c>
      <c r="L40" s="13">
        <v>41264.550000000003</v>
      </c>
      <c r="M40" s="13">
        <v>41300</v>
      </c>
      <c r="N40" s="14" t="s">
        <v>1</v>
      </c>
    </row>
    <row r="41" spans="1:14" x14ac:dyDescent="0.25">
      <c r="A41" s="47"/>
      <c r="B41" s="78" t="s">
        <v>49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</row>
    <row r="42" spans="1:14" ht="30.75" customHeight="1" x14ac:dyDescent="0.25">
      <c r="A42" s="45">
        <v>29</v>
      </c>
      <c r="B42" s="60" t="s">
        <v>46</v>
      </c>
      <c r="C42" s="11">
        <f>SUM(D42:M42)</f>
        <v>939781.60999999987</v>
      </c>
      <c r="D42" s="11">
        <f t="shared" ref="D42:L42" si="30">SUM(D43:D46)</f>
        <v>69164.2</v>
      </c>
      <c r="E42" s="11">
        <f t="shared" si="30"/>
        <v>75323.299999999988</v>
      </c>
      <c r="F42" s="11">
        <f t="shared" si="30"/>
        <v>78343.700000000012</v>
      </c>
      <c r="G42" s="11">
        <f t="shared" si="30"/>
        <v>80963.399999999994</v>
      </c>
      <c r="H42" s="11">
        <f t="shared" si="30"/>
        <v>88052.61</v>
      </c>
      <c r="I42" s="11">
        <f t="shared" si="30"/>
        <v>96971.25999999998</v>
      </c>
      <c r="J42" s="11">
        <f t="shared" si="30"/>
        <v>103367.47000000002</v>
      </c>
      <c r="K42" s="11">
        <f t="shared" si="30"/>
        <v>111850.16999999998</v>
      </c>
      <c r="L42" s="11">
        <f t="shared" si="30"/>
        <v>115598</v>
      </c>
      <c r="M42" s="11">
        <f t="shared" ref="M42" si="31">SUM(M43:M46)</f>
        <v>120147.5</v>
      </c>
      <c r="N42" s="14" t="s">
        <v>1</v>
      </c>
    </row>
    <row r="43" spans="1:14" x14ac:dyDescent="0.25">
      <c r="A43" s="47">
        <v>30</v>
      </c>
      <c r="B43" s="14" t="s">
        <v>4</v>
      </c>
      <c r="C43" s="13">
        <f>SUM(D43:M43)</f>
        <v>181447.86000000002</v>
      </c>
      <c r="D43" s="13">
        <f>D48</f>
        <v>19929.199999999997</v>
      </c>
      <c r="E43" s="13">
        <f t="shared" ref="D43:L46" si="32">E48</f>
        <v>14365.4</v>
      </c>
      <c r="F43" s="13">
        <f t="shared" si="32"/>
        <v>15098.6</v>
      </c>
      <c r="G43" s="13">
        <f t="shared" si="32"/>
        <v>14860.2</v>
      </c>
      <c r="H43" s="13">
        <f t="shared" si="32"/>
        <v>16343.710000000005</v>
      </c>
      <c r="I43" s="13">
        <f t="shared" si="32"/>
        <v>18544.34</v>
      </c>
      <c r="J43" s="13">
        <f t="shared" si="32"/>
        <v>19424.370000000003</v>
      </c>
      <c r="K43" s="13">
        <f t="shared" si="32"/>
        <v>20462.04</v>
      </c>
      <c r="L43" s="13">
        <f t="shared" si="32"/>
        <v>19880</v>
      </c>
      <c r="M43" s="13">
        <f t="shared" ref="M43" si="33">M48</f>
        <v>22540</v>
      </c>
      <c r="N43" s="14" t="s">
        <v>1</v>
      </c>
    </row>
    <row r="44" spans="1:14" x14ac:dyDescent="0.25">
      <c r="A44" s="47">
        <v>31</v>
      </c>
      <c r="B44" s="14" t="s">
        <v>2</v>
      </c>
      <c r="C44" s="13">
        <f t="shared" ref="C44:C46" si="34">SUM(D44:M44)</f>
        <v>39632.960000000006</v>
      </c>
      <c r="D44" s="13">
        <f t="shared" si="32"/>
        <v>0</v>
      </c>
      <c r="E44" s="13">
        <f t="shared" si="32"/>
        <v>0</v>
      </c>
      <c r="F44" s="13">
        <f t="shared" si="32"/>
        <v>0</v>
      </c>
      <c r="G44" s="13">
        <f t="shared" si="32"/>
        <v>0</v>
      </c>
      <c r="H44" s="13">
        <f t="shared" si="32"/>
        <v>0</v>
      </c>
      <c r="I44" s="13">
        <f t="shared" si="32"/>
        <v>3141.72</v>
      </c>
      <c r="J44" s="13">
        <f t="shared" si="32"/>
        <v>8064.7</v>
      </c>
      <c r="K44" s="13">
        <f t="shared" si="32"/>
        <v>8312.16</v>
      </c>
      <c r="L44" s="13">
        <f t="shared" si="32"/>
        <v>9997.5600000000013</v>
      </c>
      <c r="M44" s="13">
        <f t="shared" ref="M44" si="35">M49</f>
        <v>10116.82</v>
      </c>
      <c r="N44" s="14" t="s">
        <v>1</v>
      </c>
    </row>
    <row r="45" spans="1:14" x14ac:dyDescent="0.25">
      <c r="A45" s="47">
        <v>32</v>
      </c>
      <c r="B45" s="14" t="s">
        <v>3</v>
      </c>
      <c r="C45" s="13">
        <f t="shared" si="34"/>
        <v>718700.7899999998</v>
      </c>
      <c r="D45" s="13">
        <f>D50</f>
        <v>49235</v>
      </c>
      <c r="E45" s="13">
        <f t="shared" si="32"/>
        <v>60957.899999999994</v>
      </c>
      <c r="F45" s="13">
        <f t="shared" si="32"/>
        <v>63245.100000000006</v>
      </c>
      <c r="G45" s="13">
        <f>G50</f>
        <v>66103.199999999997</v>
      </c>
      <c r="H45" s="13">
        <f t="shared" si="32"/>
        <v>71708.899999999994</v>
      </c>
      <c r="I45" s="13">
        <f t="shared" si="32"/>
        <v>75285.199999999983</v>
      </c>
      <c r="J45" s="13">
        <f t="shared" si="32"/>
        <v>75878.400000000009</v>
      </c>
      <c r="K45" s="13">
        <f>K50</f>
        <v>83075.969999999987</v>
      </c>
      <c r="L45" s="13">
        <f t="shared" si="32"/>
        <v>85720.44</v>
      </c>
      <c r="M45" s="13">
        <f t="shared" ref="M45" si="36">M50</f>
        <v>87490.68</v>
      </c>
      <c r="N45" s="14" t="s">
        <v>1</v>
      </c>
    </row>
    <row r="46" spans="1:14" ht="12.75" customHeight="1" x14ac:dyDescent="0.25">
      <c r="A46" s="47">
        <v>33</v>
      </c>
      <c r="B46" s="14" t="s">
        <v>5</v>
      </c>
      <c r="C46" s="13">
        <f t="shared" si="34"/>
        <v>0</v>
      </c>
      <c r="D46" s="13">
        <f t="shared" si="32"/>
        <v>0</v>
      </c>
      <c r="E46" s="13">
        <f t="shared" si="32"/>
        <v>0</v>
      </c>
      <c r="F46" s="13">
        <f t="shared" si="32"/>
        <v>0</v>
      </c>
      <c r="G46" s="13">
        <f t="shared" si="32"/>
        <v>0</v>
      </c>
      <c r="H46" s="13">
        <f t="shared" si="32"/>
        <v>0</v>
      </c>
      <c r="I46" s="13">
        <f t="shared" si="32"/>
        <v>0</v>
      </c>
      <c r="J46" s="13">
        <f t="shared" si="32"/>
        <v>0</v>
      </c>
      <c r="K46" s="13">
        <f t="shared" si="32"/>
        <v>0</v>
      </c>
      <c r="L46" s="13">
        <f t="shared" si="32"/>
        <v>0</v>
      </c>
      <c r="M46" s="13">
        <f t="shared" ref="M46" si="37">M51</f>
        <v>0</v>
      </c>
      <c r="N46" s="14" t="s">
        <v>1</v>
      </c>
    </row>
    <row r="47" spans="1:14" ht="36.75" customHeight="1" x14ac:dyDescent="0.25">
      <c r="A47" s="45">
        <v>34</v>
      </c>
      <c r="B47" s="18" t="s">
        <v>48</v>
      </c>
      <c r="C47" s="11">
        <f t="shared" ref="C47:C52" si="38">SUM(D47:M47)</f>
        <v>939781.60999999987</v>
      </c>
      <c r="D47" s="11">
        <f t="shared" ref="D47:L47" si="39">SUM(D48:D51)</f>
        <v>69164.2</v>
      </c>
      <c r="E47" s="11">
        <f>SUM(E48:E51)</f>
        <v>75323.299999999988</v>
      </c>
      <c r="F47" s="11">
        <f t="shared" si="39"/>
        <v>78343.700000000012</v>
      </c>
      <c r="G47" s="11">
        <f t="shared" si="39"/>
        <v>80963.399999999994</v>
      </c>
      <c r="H47" s="11">
        <f t="shared" si="39"/>
        <v>88052.61</v>
      </c>
      <c r="I47" s="11">
        <f t="shared" si="39"/>
        <v>96971.25999999998</v>
      </c>
      <c r="J47" s="11">
        <f t="shared" si="39"/>
        <v>103367.47000000002</v>
      </c>
      <c r="K47" s="11">
        <f t="shared" si="39"/>
        <v>111850.16999999998</v>
      </c>
      <c r="L47" s="11">
        <f t="shared" si="39"/>
        <v>115598</v>
      </c>
      <c r="M47" s="11">
        <f t="shared" ref="M47" si="40">SUM(M48:M51)</f>
        <v>120147.5</v>
      </c>
      <c r="N47" s="14" t="s">
        <v>1</v>
      </c>
    </row>
    <row r="48" spans="1:14" x14ac:dyDescent="0.25">
      <c r="A48" s="47">
        <v>35</v>
      </c>
      <c r="B48" s="14" t="s">
        <v>4</v>
      </c>
      <c r="C48" s="13">
        <f t="shared" si="38"/>
        <v>181447.86000000002</v>
      </c>
      <c r="D48" s="13">
        <f t="shared" ref="D48:L51" si="41">D53+D58+D63+D68+D73</f>
        <v>19929.199999999997</v>
      </c>
      <c r="E48" s="13">
        <f t="shared" si="41"/>
        <v>14365.4</v>
      </c>
      <c r="F48" s="13">
        <f t="shared" si="41"/>
        <v>15098.6</v>
      </c>
      <c r="G48" s="13">
        <f t="shared" si="41"/>
        <v>14860.2</v>
      </c>
      <c r="H48" s="13">
        <f>H53+H58+H63+H68+H73</f>
        <v>16343.710000000005</v>
      </c>
      <c r="I48" s="13">
        <f t="shared" ref="I48:J48" si="42">I53+I58+I63+I68+I73</f>
        <v>18544.34</v>
      </c>
      <c r="J48" s="13">
        <f t="shared" si="42"/>
        <v>19424.370000000003</v>
      </c>
      <c r="K48" s="13">
        <f>K53+K58+K63+K68+K73</f>
        <v>20462.04</v>
      </c>
      <c r="L48" s="13">
        <f>L53+L58+L63+L68+L73</f>
        <v>19880</v>
      </c>
      <c r="M48" s="13">
        <f>M53+M58+M63+M68+M73</f>
        <v>22540</v>
      </c>
      <c r="N48" s="14" t="s">
        <v>1</v>
      </c>
    </row>
    <row r="49" spans="1:14" ht="18" customHeight="1" x14ac:dyDescent="0.25">
      <c r="A49" s="47">
        <v>36</v>
      </c>
      <c r="B49" s="14" t="s">
        <v>2</v>
      </c>
      <c r="C49" s="13">
        <f t="shared" si="38"/>
        <v>39632.960000000006</v>
      </c>
      <c r="D49" s="13">
        <f t="shared" si="41"/>
        <v>0</v>
      </c>
      <c r="E49" s="13">
        <f t="shared" si="41"/>
        <v>0</v>
      </c>
      <c r="F49" s="13">
        <f t="shared" si="41"/>
        <v>0</v>
      </c>
      <c r="G49" s="13">
        <f t="shared" si="41"/>
        <v>0</v>
      </c>
      <c r="H49" s="13">
        <f t="shared" si="41"/>
        <v>0</v>
      </c>
      <c r="I49" s="13">
        <f>I54+I59+I64+I69+I74+I79+I84+I89+I94</f>
        <v>3141.72</v>
      </c>
      <c r="J49" s="13">
        <f t="shared" ref="J49:L49" si="43">J54+J59+J64+J69+J74+J79+J84+J89+J94</f>
        <v>8064.7</v>
      </c>
      <c r="K49" s="13">
        <f t="shared" si="43"/>
        <v>8312.16</v>
      </c>
      <c r="L49" s="13">
        <f t="shared" si="43"/>
        <v>9997.5600000000013</v>
      </c>
      <c r="M49" s="13">
        <f t="shared" ref="M49" si="44">M54+M59+M64+M69+M74+M79+M84+M89+M94</f>
        <v>10116.82</v>
      </c>
      <c r="N49" s="14" t="s">
        <v>1</v>
      </c>
    </row>
    <row r="50" spans="1:14" x14ac:dyDescent="0.25">
      <c r="A50" s="47">
        <v>37</v>
      </c>
      <c r="B50" s="14" t="s">
        <v>3</v>
      </c>
      <c r="C50" s="13">
        <f t="shared" si="38"/>
        <v>718700.7899999998</v>
      </c>
      <c r="D50" s="13">
        <f t="shared" si="41"/>
        <v>49235</v>
      </c>
      <c r="E50" s="13">
        <f t="shared" si="41"/>
        <v>60957.899999999994</v>
      </c>
      <c r="F50" s="13">
        <f t="shared" si="41"/>
        <v>63245.100000000006</v>
      </c>
      <c r="G50" s="13">
        <f>G55+G60+G65+G70+G75+G80</f>
        <v>66103.199999999997</v>
      </c>
      <c r="H50" s="13">
        <f>H55+H60+H65+H70+H75+H85+H80</f>
        <v>71708.899999999994</v>
      </c>
      <c r="I50" s="13">
        <f>I55+I60+I65+I70+I75+I85+I80+I90+I95</f>
        <v>75285.199999999983</v>
      </c>
      <c r="J50" s="13">
        <f t="shared" ref="J50:L50" si="45">J55+J60+J65+J70+J75+J85+J80+J90+J95</f>
        <v>75878.400000000009</v>
      </c>
      <c r="K50" s="13">
        <f>K55+K60+K65+K70+K75+K85+K80+K90+K95+K100</f>
        <v>83075.969999999987</v>
      </c>
      <c r="L50" s="13">
        <f t="shared" si="45"/>
        <v>85720.44</v>
      </c>
      <c r="M50" s="13">
        <f t="shared" ref="M50" si="46">M55+M60+M65+M70+M75+M85+M80+M90+M95</f>
        <v>87490.68</v>
      </c>
      <c r="N50" s="14" t="s">
        <v>1</v>
      </c>
    </row>
    <row r="51" spans="1:14" ht="21" customHeight="1" x14ac:dyDescent="0.25">
      <c r="A51" s="47">
        <v>38</v>
      </c>
      <c r="B51" s="14" t="s">
        <v>5</v>
      </c>
      <c r="C51" s="13">
        <f t="shared" si="38"/>
        <v>0</v>
      </c>
      <c r="D51" s="13">
        <f t="shared" si="41"/>
        <v>0</v>
      </c>
      <c r="E51" s="13">
        <f t="shared" si="41"/>
        <v>0</v>
      </c>
      <c r="F51" s="13">
        <f t="shared" si="41"/>
        <v>0</v>
      </c>
      <c r="G51" s="13">
        <f t="shared" si="41"/>
        <v>0</v>
      </c>
      <c r="H51" s="13">
        <f t="shared" si="41"/>
        <v>0</v>
      </c>
      <c r="I51" s="13">
        <f t="shared" si="41"/>
        <v>0</v>
      </c>
      <c r="J51" s="13">
        <f t="shared" si="41"/>
        <v>0</v>
      </c>
      <c r="K51" s="13">
        <f t="shared" si="41"/>
        <v>0</v>
      </c>
      <c r="L51" s="13">
        <f t="shared" si="41"/>
        <v>0</v>
      </c>
      <c r="M51" s="13">
        <f t="shared" ref="M51" si="47">M56+M61+M66+M71+M76</f>
        <v>0</v>
      </c>
      <c r="N51" s="14"/>
    </row>
    <row r="52" spans="1:14" ht="269.25" customHeight="1" x14ac:dyDescent="0.25">
      <c r="A52" s="47">
        <v>39</v>
      </c>
      <c r="B52" s="19" t="s">
        <v>43</v>
      </c>
      <c r="C52" s="13">
        <f t="shared" si="38"/>
        <v>570664.70000000007</v>
      </c>
      <c r="D52" s="13">
        <f t="shared" ref="D52:F52" si="48">D55</f>
        <v>38130</v>
      </c>
      <c r="E52" s="13">
        <f t="shared" si="48"/>
        <v>47837.599999999999</v>
      </c>
      <c r="F52" s="13">
        <f t="shared" si="48"/>
        <v>49177.8</v>
      </c>
      <c r="G52" s="13">
        <f>G55</f>
        <v>51396</v>
      </c>
      <c r="H52" s="13">
        <f>H55</f>
        <v>55717.4</v>
      </c>
      <c r="I52" s="13">
        <f>I55</f>
        <v>58561</v>
      </c>
      <c r="J52" s="13">
        <f>J55</f>
        <v>62284.5</v>
      </c>
      <c r="K52" s="13">
        <f t="shared" ref="K52:L52" si="49">K55</f>
        <v>67066.399999999994</v>
      </c>
      <c r="L52" s="13">
        <f t="shared" si="49"/>
        <v>69670</v>
      </c>
      <c r="M52" s="13">
        <f t="shared" ref="M52" si="50">M55</f>
        <v>70824</v>
      </c>
      <c r="N52" s="14" t="s">
        <v>34</v>
      </c>
    </row>
    <row r="53" spans="1:14" x14ac:dyDescent="0.25">
      <c r="A53" s="47">
        <v>40</v>
      </c>
      <c r="B53" s="14" t="s">
        <v>4</v>
      </c>
      <c r="C53" s="14">
        <f t="shared" ref="C53:C61" si="51">SUM(D53:I53)</f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 t="s">
        <v>1</v>
      </c>
    </row>
    <row r="54" spans="1:14" x14ac:dyDescent="0.25">
      <c r="A54" s="47">
        <v>41</v>
      </c>
      <c r="B54" s="14" t="s">
        <v>2</v>
      </c>
      <c r="C54" s="14">
        <f t="shared" si="51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 t="s">
        <v>1</v>
      </c>
    </row>
    <row r="55" spans="1:14" x14ac:dyDescent="0.25">
      <c r="A55" s="47">
        <v>42</v>
      </c>
      <c r="B55" s="14" t="s">
        <v>3</v>
      </c>
      <c r="C55" s="13">
        <f>SUM(D55:M55)</f>
        <v>570664.70000000007</v>
      </c>
      <c r="D55" s="13">
        <f>39073-943</f>
        <v>38130</v>
      </c>
      <c r="E55" s="13">
        <f>45412.2-167.5-113.7+2388.6+318</f>
        <v>47837.599999999999</v>
      </c>
      <c r="F55" s="13">
        <f>48078+1099.8</f>
        <v>49177.8</v>
      </c>
      <c r="G55" s="13">
        <f>51288+108</f>
        <v>51396</v>
      </c>
      <c r="H55" s="13">
        <f>54355+1059.8+302.6</f>
        <v>55717.4</v>
      </c>
      <c r="I55" s="13">
        <f>58781+1280-1500</f>
        <v>58561</v>
      </c>
      <c r="J55" s="13">
        <f>60809+685+790.5</f>
        <v>62284.5</v>
      </c>
      <c r="K55" s="13">
        <f>66361.7+704.7</f>
        <v>67066.399999999994</v>
      </c>
      <c r="L55" s="13">
        <v>69670</v>
      </c>
      <c r="M55" s="13">
        <v>70824</v>
      </c>
      <c r="N55" s="14" t="s">
        <v>1</v>
      </c>
    </row>
    <row r="56" spans="1:14" x14ac:dyDescent="0.25">
      <c r="A56" s="41">
        <v>43</v>
      </c>
      <c r="B56" s="14" t="s">
        <v>5</v>
      </c>
      <c r="C56" s="13">
        <f t="shared" si="51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 t="s">
        <v>1</v>
      </c>
    </row>
    <row r="57" spans="1:14" ht="267.75" customHeight="1" x14ac:dyDescent="0.25">
      <c r="A57" s="47">
        <v>44</v>
      </c>
      <c r="B57" s="12" t="s">
        <v>59</v>
      </c>
      <c r="C57" s="13">
        <f>SUM(D57:M57)</f>
        <v>35046.9</v>
      </c>
      <c r="D57" s="13">
        <f t="shared" ref="D57:I57" si="52">D60</f>
        <v>2048</v>
      </c>
      <c r="E57" s="13">
        <f t="shared" si="52"/>
        <v>2431</v>
      </c>
      <c r="F57" s="13">
        <f t="shared" si="52"/>
        <v>2421</v>
      </c>
      <c r="G57" s="13">
        <f>G60</f>
        <v>2611.3000000000002</v>
      </c>
      <c r="H57" s="13">
        <f t="shared" si="52"/>
        <v>3572</v>
      </c>
      <c r="I57" s="13">
        <f t="shared" si="52"/>
        <v>4453.7</v>
      </c>
      <c r="J57" s="13">
        <f>J60</f>
        <v>4419</v>
      </c>
      <c r="K57" s="13">
        <f>K60</f>
        <v>4308.8999999999996</v>
      </c>
      <c r="L57" s="13">
        <f>L60</f>
        <v>4305</v>
      </c>
      <c r="M57" s="13">
        <f>M60</f>
        <v>4477</v>
      </c>
      <c r="N57" s="14" t="s">
        <v>33</v>
      </c>
    </row>
    <row r="58" spans="1:14" x14ac:dyDescent="0.25">
      <c r="A58" s="47">
        <v>45</v>
      </c>
      <c r="B58" s="13" t="s">
        <v>4</v>
      </c>
      <c r="C58" s="13">
        <f t="shared" si="51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 t="s">
        <v>1</v>
      </c>
    </row>
    <row r="59" spans="1:14" ht="21" customHeight="1" x14ac:dyDescent="0.25">
      <c r="A59" s="47">
        <v>46</v>
      </c>
      <c r="B59" s="13" t="s">
        <v>2</v>
      </c>
      <c r="C59" s="13">
        <f t="shared" si="51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 t="s">
        <v>1</v>
      </c>
    </row>
    <row r="60" spans="1:14" ht="30.75" customHeight="1" x14ac:dyDescent="0.25">
      <c r="A60" s="47">
        <v>47</v>
      </c>
      <c r="B60" s="13" t="s">
        <v>3</v>
      </c>
      <c r="C60" s="13">
        <f>SUM(D60:M60)</f>
        <v>35046.9</v>
      </c>
      <c r="D60" s="13">
        <v>2048</v>
      </c>
      <c r="E60" s="13">
        <f>2149.8+167.5+113.7</f>
        <v>2431</v>
      </c>
      <c r="F60" s="13">
        <v>2421</v>
      </c>
      <c r="G60" s="13">
        <f>2680-108+39.3</f>
        <v>2611.3000000000002</v>
      </c>
      <c r="H60" s="13">
        <v>3572</v>
      </c>
      <c r="I60" s="13">
        <f>3697+756.7</f>
        <v>4453.7</v>
      </c>
      <c r="J60" s="13">
        <f>3819+600</f>
        <v>4419</v>
      </c>
      <c r="K60" s="13">
        <f>4139+169.9</f>
        <v>4308.8999999999996</v>
      </c>
      <c r="L60" s="13">
        <v>4305</v>
      </c>
      <c r="M60" s="13">
        <v>4477</v>
      </c>
      <c r="N60" s="13" t="s">
        <v>1</v>
      </c>
    </row>
    <row r="61" spans="1:14" ht="23.25" customHeight="1" x14ac:dyDescent="0.25">
      <c r="A61" s="41">
        <v>48</v>
      </c>
      <c r="B61" s="13" t="s">
        <v>5</v>
      </c>
      <c r="C61" s="13">
        <f t="shared" si="51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 t="s">
        <v>1</v>
      </c>
    </row>
    <row r="62" spans="1:14" ht="81" customHeight="1" x14ac:dyDescent="0.25">
      <c r="A62" s="47">
        <v>49</v>
      </c>
      <c r="B62" s="13" t="s">
        <v>44</v>
      </c>
      <c r="C62" s="13">
        <f>SUM(D62:M62)</f>
        <v>104065.49</v>
      </c>
      <c r="D62" s="13">
        <f t="shared" ref="D62:G62" si="53">D65</f>
        <v>8910</v>
      </c>
      <c r="E62" s="13">
        <f>E65</f>
        <v>10618.3</v>
      </c>
      <c r="F62" s="13">
        <f t="shared" si="53"/>
        <v>11563</v>
      </c>
      <c r="G62" s="13">
        <f t="shared" si="53"/>
        <v>12003</v>
      </c>
      <c r="H62" s="13">
        <f>H63+H65</f>
        <v>12373.1</v>
      </c>
      <c r="I62" s="13">
        <f>I63+I65</f>
        <v>11467.71</v>
      </c>
      <c r="J62" s="13">
        <f t="shared" ref="J62" si="54">J63+J65</f>
        <v>8029.38</v>
      </c>
      <c r="K62" s="13">
        <f>K63+K65</f>
        <v>9339</v>
      </c>
      <c r="L62" s="13">
        <f>L63+L65</f>
        <v>9697</v>
      </c>
      <c r="M62" s="13">
        <f>M63+M65</f>
        <v>10065</v>
      </c>
      <c r="N62" s="13" t="s">
        <v>36</v>
      </c>
    </row>
    <row r="63" spans="1:14" x14ac:dyDescent="0.25">
      <c r="A63" s="47">
        <v>50</v>
      </c>
      <c r="B63" s="13" t="s">
        <v>4</v>
      </c>
      <c r="C63" s="13">
        <f t="shared" ref="C63:C76" si="55">SUM(D63:M63)</f>
        <v>2528.62</v>
      </c>
      <c r="D63" s="13">
        <v>0</v>
      </c>
      <c r="E63" s="13">
        <v>0</v>
      </c>
      <c r="F63" s="13">
        <v>0</v>
      </c>
      <c r="G63" s="13">
        <v>0</v>
      </c>
      <c r="H63" s="13">
        <v>389.1</v>
      </c>
      <c r="I63" s="13">
        <v>403.14</v>
      </c>
      <c r="J63" s="13">
        <f>416.38</f>
        <v>416.38</v>
      </c>
      <c r="K63" s="13">
        <v>440</v>
      </c>
      <c r="L63" s="13">
        <v>440</v>
      </c>
      <c r="M63" s="13">
        <v>440</v>
      </c>
      <c r="N63" s="13" t="s">
        <v>1</v>
      </c>
    </row>
    <row r="64" spans="1:14" x14ac:dyDescent="0.25">
      <c r="A64" s="47">
        <v>51</v>
      </c>
      <c r="B64" s="13" t="s">
        <v>2</v>
      </c>
      <c r="C64" s="13">
        <f t="shared" si="55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 t="s">
        <v>1</v>
      </c>
    </row>
    <row r="65" spans="1:14" x14ac:dyDescent="0.25">
      <c r="A65" s="47">
        <v>52</v>
      </c>
      <c r="B65" s="13" t="s">
        <v>3</v>
      </c>
      <c r="C65" s="13">
        <f t="shared" si="55"/>
        <v>101536.87</v>
      </c>
      <c r="D65" s="13">
        <f>6970+1940</f>
        <v>8910</v>
      </c>
      <c r="E65" s="13">
        <f>9359+1259.3</f>
        <v>10618.3</v>
      </c>
      <c r="F65" s="13">
        <v>11563</v>
      </c>
      <c r="G65" s="13">
        <f>11563+440</f>
        <v>12003</v>
      </c>
      <c r="H65" s="13">
        <f>13359-295-1080</f>
        <v>11984</v>
      </c>
      <c r="I65" s="13">
        <f>13306-1507-734.43</f>
        <v>11064.57</v>
      </c>
      <c r="J65" s="13">
        <f>9267-1654</f>
        <v>7613</v>
      </c>
      <c r="K65" s="13">
        <v>8899</v>
      </c>
      <c r="L65" s="13">
        <v>9257</v>
      </c>
      <c r="M65" s="13">
        <v>9625</v>
      </c>
      <c r="N65" s="13" t="s">
        <v>1</v>
      </c>
    </row>
    <row r="66" spans="1:14" x14ac:dyDescent="0.25">
      <c r="A66" s="41">
        <v>53</v>
      </c>
      <c r="B66" s="13" t="s">
        <v>5</v>
      </c>
      <c r="C66" s="13">
        <f t="shared" si="55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 t="s">
        <v>1</v>
      </c>
    </row>
    <row r="67" spans="1:14" ht="205.5" customHeight="1" x14ac:dyDescent="0.25">
      <c r="A67" s="47">
        <v>54</v>
      </c>
      <c r="B67" s="13" t="s">
        <v>14</v>
      </c>
      <c r="C67" s="13">
        <f t="shared" si="55"/>
        <v>301.3</v>
      </c>
      <c r="D67" s="13">
        <f t="shared" ref="D67:L67" si="56">SUM(D68:D71)</f>
        <v>147</v>
      </c>
      <c r="E67" s="13">
        <f t="shared" si="56"/>
        <v>71</v>
      </c>
      <c r="F67" s="13">
        <f t="shared" si="56"/>
        <v>83.300000000000011</v>
      </c>
      <c r="G67" s="13">
        <f t="shared" si="56"/>
        <v>0</v>
      </c>
      <c r="H67" s="13">
        <f t="shared" si="56"/>
        <v>0</v>
      </c>
      <c r="I67" s="13">
        <f t="shared" si="56"/>
        <v>0</v>
      </c>
      <c r="J67" s="13">
        <f t="shared" si="56"/>
        <v>0</v>
      </c>
      <c r="K67" s="13">
        <f t="shared" si="56"/>
        <v>0</v>
      </c>
      <c r="L67" s="13">
        <f t="shared" si="56"/>
        <v>0</v>
      </c>
      <c r="M67" s="13">
        <f t="shared" ref="M67" si="57">SUM(M68:M71)</f>
        <v>0</v>
      </c>
      <c r="N67" s="13" t="s">
        <v>35</v>
      </c>
    </row>
    <row r="68" spans="1:14" x14ac:dyDescent="0.25">
      <c r="A68" s="47">
        <v>55</v>
      </c>
      <c r="B68" s="13" t="s">
        <v>4</v>
      </c>
      <c r="C68" s="13">
        <f t="shared" si="55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 t="s">
        <v>1</v>
      </c>
    </row>
    <row r="69" spans="1:14" x14ac:dyDescent="0.25">
      <c r="A69" s="47">
        <v>56</v>
      </c>
      <c r="B69" s="13" t="s">
        <v>2</v>
      </c>
      <c r="C69" s="13">
        <f t="shared" si="55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 t="s">
        <v>1</v>
      </c>
    </row>
    <row r="70" spans="1:14" x14ac:dyDescent="0.25">
      <c r="A70" s="47">
        <v>57</v>
      </c>
      <c r="B70" s="13" t="s">
        <v>3</v>
      </c>
      <c r="C70" s="13">
        <f t="shared" si="55"/>
        <v>301.3</v>
      </c>
      <c r="D70" s="13">
        <v>147</v>
      </c>
      <c r="E70" s="13">
        <f>147-76</f>
        <v>71</v>
      </c>
      <c r="F70" s="13">
        <f>73.4-2.1+12</f>
        <v>83.300000000000011</v>
      </c>
      <c r="G70" s="13"/>
      <c r="H70" s="13"/>
      <c r="I70" s="13"/>
      <c r="J70" s="13"/>
      <c r="K70" s="13"/>
      <c r="L70" s="13"/>
      <c r="M70" s="13"/>
      <c r="N70" s="13" t="s">
        <v>1</v>
      </c>
    </row>
    <row r="71" spans="1:14" x14ac:dyDescent="0.25">
      <c r="A71" s="41">
        <v>58</v>
      </c>
      <c r="B71" s="20" t="s">
        <v>5</v>
      </c>
      <c r="C71" s="13">
        <f t="shared" si="55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 t="s">
        <v>1</v>
      </c>
    </row>
    <row r="72" spans="1:14" ht="111.75" customHeight="1" x14ac:dyDescent="0.25">
      <c r="A72" s="41">
        <v>59</v>
      </c>
      <c r="B72" s="22" t="s">
        <v>45</v>
      </c>
      <c r="C72" s="13">
        <f t="shared" si="55"/>
        <v>178919.24</v>
      </c>
      <c r="D72" s="23">
        <f t="shared" ref="D72:M72" si="58">D73</f>
        <v>19929.199999999997</v>
      </c>
      <c r="E72" s="23">
        <f>E73</f>
        <v>14365.4</v>
      </c>
      <c r="F72" s="23">
        <f t="shared" si="58"/>
        <v>15098.6</v>
      </c>
      <c r="G72" s="23">
        <f>G73</f>
        <v>14860.2</v>
      </c>
      <c r="H72" s="23">
        <f>H73</f>
        <v>15954.610000000004</v>
      </c>
      <c r="I72" s="23">
        <f>I73</f>
        <v>18141.2</v>
      </c>
      <c r="J72" s="23">
        <f t="shared" si="58"/>
        <v>19007.990000000002</v>
      </c>
      <c r="K72" s="23">
        <f t="shared" si="58"/>
        <v>20022.04</v>
      </c>
      <c r="L72" s="23">
        <f t="shared" si="58"/>
        <v>19440</v>
      </c>
      <c r="M72" s="23">
        <f t="shared" si="58"/>
        <v>22100</v>
      </c>
      <c r="N72" s="23" t="s">
        <v>33</v>
      </c>
    </row>
    <row r="73" spans="1:14" ht="20.25" customHeight="1" x14ac:dyDescent="0.25">
      <c r="A73" s="47">
        <v>60</v>
      </c>
      <c r="B73" s="13" t="s">
        <v>4</v>
      </c>
      <c r="C73" s="13">
        <f t="shared" si="55"/>
        <v>178919.24</v>
      </c>
      <c r="D73" s="24">
        <f>19025.6+903.6</f>
        <v>19929.199999999997</v>
      </c>
      <c r="E73" s="24">
        <v>14365.4</v>
      </c>
      <c r="F73" s="24">
        <f>15404.7-200-117.6-19.2+30.7</f>
        <v>15098.6</v>
      </c>
      <c r="G73" s="24">
        <f>14968.7-108.5</f>
        <v>14860.2</v>
      </c>
      <c r="H73" s="24">
        <f>17113.56-389.1-219.85-550</f>
        <v>15954.610000000004</v>
      </c>
      <c r="I73" s="24">
        <f>18662.2-276.17+64.17-309</f>
        <v>18141.2</v>
      </c>
      <c r="J73" s="24">
        <v>19007.990000000002</v>
      </c>
      <c r="K73" s="24">
        <f>19759.08+262.96</f>
        <v>20022.04</v>
      </c>
      <c r="L73" s="24">
        <v>19440</v>
      </c>
      <c r="M73" s="24">
        <v>22100</v>
      </c>
      <c r="N73" s="24"/>
    </row>
    <row r="74" spans="1:14" x14ac:dyDescent="0.25">
      <c r="A74" s="47">
        <v>61</v>
      </c>
      <c r="B74" s="13" t="s">
        <v>2</v>
      </c>
      <c r="C74" s="13">
        <f t="shared" si="55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9.5" customHeight="1" x14ac:dyDescent="0.25">
      <c r="A75" s="47">
        <v>62</v>
      </c>
      <c r="B75" s="13" t="s">
        <v>3</v>
      </c>
      <c r="C75" s="13">
        <f t="shared" si="55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29.25" customHeight="1" x14ac:dyDescent="0.25">
      <c r="A76" s="47">
        <v>63</v>
      </c>
      <c r="B76" s="13" t="s">
        <v>5</v>
      </c>
      <c r="C76" s="13">
        <f t="shared" si="55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99.5" customHeight="1" x14ac:dyDescent="0.25">
      <c r="A77" s="47">
        <v>64</v>
      </c>
      <c r="B77" s="13" t="s">
        <v>56</v>
      </c>
      <c r="C77" s="13">
        <f>SUM(D77:M77)</f>
        <v>328.3</v>
      </c>
      <c r="D77" s="13"/>
      <c r="E77" s="13"/>
      <c r="F77" s="13"/>
      <c r="G77" s="13">
        <f>G80</f>
        <v>92.9</v>
      </c>
      <c r="H77" s="13">
        <f>H80</f>
        <v>78.2</v>
      </c>
      <c r="I77" s="13">
        <f t="shared" ref="I77:L77" si="59">I80</f>
        <v>58</v>
      </c>
      <c r="J77" s="13">
        <f t="shared" si="59"/>
        <v>21.6</v>
      </c>
      <c r="K77" s="13">
        <f t="shared" si="59"/>
        <v>29.9</v>
      </c>
      <c r="L77" s="13">
        <f t="shared" si="59"/>
        <v>23.4</v>
      </c>
      <c r="M77" s="13">
        <f t="shared" ref="M77" si="60">M80</f>
        <v>24.3</v>
      </c>
      <c r="N77" s="13"/>
    </row>
    <row r="78" spans="1:14" x14ac:dyDescent="0.25">
      <c r="A78" s="42">
        <v>65</v>
      </c>
      <c r="B78" s="13" t="s">
        <v>4</v>
      </c>
      <c r="C78" s="13">
        <f t="shared" ref="C78:C96" si="61">SUM(D78:M78)</f>
        <v>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x14ac:dyDescent="0.25">
      <c r="A79" s="42">
        <v>66</v>
      </c>
      <c r="B79" s="13" t="s">
        <v>2</v>
      </c>
      <c r="C79" s="13">
        <f t="shared" si="61"/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x14ac:dyDescent="0.25">
      <c r="A80" s="42">
        <v>67</v>
      </c>
      <c r="B80" s="13" t="s">
        <v>3</v>
      </c>
      <c r="C80" s="13">
        <f t="shared" si="61"/>
        <v>328.3</v>
      </c>
      <c r="D80" s="13"/>
      <c r="E80" s="13"/>
      <c r="F80" s="13"/>
      <c r="G80" s="13">
        <f>110.2-17.3</f>
        <v>92.9</v>
      </c>
      <c r="H80" s="13">
        <f>90.7-12.5</f>
        <v>78.2</v>
      </c>
      <c r="I80" s="13">
        <f>100.8-42.8</f>
        <v>58</v>
      </c>
      <c r="J80" s="13">
        <v>21.6</v>
      </c>
      <c r="K80" s="13">
        <f>22.5+7.4</f>
        <v>29.9</v>
      </c>
      <c r="L80" s="13">
        <v>23.4</v>
      </c>
      <c r="M80" s="13">
        <v>24.3</v>
      </c>
      <c r="N80" s="13"/>
    </row>
    <row r="81" spans="1:14" ht="19.5" customHeight="1" x14ac:dyDescent="0.25">
      <c r="A81" s="47">
        <v>68</v>
      </c>
      <c r="B81" s="13" t="s">
        <v>5</v>
      </c>
      <c r="C81" s="13">
        <f t="shared" si="61"/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207" customHeight="1" x14ac:dyDescent="0.25">
      <c r="A82" s="41">
        <v>69</v>
      </c>
      <c r="B82" s="20" t="s">
        <v>52</v>
      </c>
      <c r="C82" s="13">
        <f t="shared" si="61"/>
        <v>2407.1</v>
      </c>
      <c r="D82" s="23">
        <f>D83</f>
        <v>0</v>
      </c>
      <c r="E82" s="23">
        <f t="shared" ref="E82:F82" si="62">E83</f>
        <v>0</v>
      </c>
      <c r="F82" s="23">
        <f t="shared" si="62"/>
        <v>0</v>
      </c>
      <c r="G82" s="23">
        <f t="shared" ref="G82:M82" si="63">G85</f>
        <v>0</v>
      </c>
      <c r="H82" s="23">
        <f t="shared" si="63"/>
        <v>357.3</v>
      </c>
      <c r="I82" s="23">
        <f t="shared" si="63"/>
        <v>413.5</v>
      </c>
      <c r="J82" s="23">
        <f t="shared" si="63"/>
        <v>385.3</v>
      </c>
      <c r="K82" s="23">
        <f t="shared" si="63"/>
        <v>400.8</v>
      </c>
      <c r="L82" s="23">
        <f t="shared" si="63"/>
        <v>416.8</v>
      </c>
      <c r="M82" s="23">
        <f t="shared" si="63"/>
        <v>433.4</v>
      </c>
      <c r="N82" s="23"/>
    </row>
    <row r="83" spans="1:14" x14ac:dyDescent="0.25">
      <c r="A83" s="47">
        <v>70</v>
      </c>
      <c r="B83" s="13" t="s">
        <v>4</v>
      </c>
      <c r="C83" s="13">
        <f t="shared" si="61"/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x14ac:dyDescent="0.25">
      <c r="A84" s="42">
        <v>71</v>
      </c>
      <c r="B84" s="13" t="s">
        <v>2</v>
      </c>
      <c r="C84" s="13">
        <f t="shared" si="61"/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5">
      <c r="A85" s="42">
        <v>72</v>
      </c>
      <c r="B85" s="13" t="s">
        <v>3</v>
      </c>
      <c r="C85" s="13">
        <f t="shared" si="61"/>
        <v>2407.1</v>
      </c>
      <c r="D85" s="13"/>
      <c r="E85" s="13"/>
      <c r="F85" s="13"/>
      <c r="G85" s="13"/>
      <c r="H85" s="13">
        <v>357.3</v>
      </c>
      <c r="I85" s="13">
        <f>390.1+23.4</f>
        <v>413.5</v>
      </c>
      <c r="J85" s="13">
        <f>363.5+21.8</f>
        <v>385.3</v>
      </c>
      <c r="K85" s="13">
        <f>378.1+22.7</f>
        <v>400.8</v>
      </c>
      <c r="L85" s="13">
        <f>393.2+23.6</f>
        <v>416.8</v>
      </c>
      <c r="M85" s="13">
        <v>433.4</v>
      </c>
      <c r="N85" s="13"/>
    </row>
    <row r="86" spans="1:14" ht="18.75" customHeight="1" x14ac:dyDescent="0.25">
      <c r="A86" s="47">
        <v>73</v>
      </c>
      <c r="B86" s="20" t="s">
        <v>5</v>
      </c>
      <c r="C86" s="13">
        <f t="shared" si="61"/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93" customHeight="1" x14ac:dyDescent="0.25">
      <c r="A87" s="47">
        <v>74</v>
      </c>
      <c r="B87" s="20" t="s">
        <v>60</v>
      </c>
      <c r="C87" s="13">
        <f t="shared" si="61"/>
        <v>25183.3</v>
      </c>
      <c r="D87" s="23">
        <f>D88</f>
        <v>0</v>
      </c>
      <c r="E87" s="23">
        <f t="shared" ref="E87:F87" si="64">E88</f>
        <v>0</v>
      </c>
      <c r="F87" s="23">
        <f t="shared" si="64"/>
        <v>0</v>
      </c>
      <c r="G87" s="23">
        <f>G90</f>
        <v>0</v>
      </c>
      <c r="H87" s="23">
        <f>H90</f>
        <v>0</v>
      </c>
      <c r="I87" s="23">
        <f>I90+I89</f>
        <v>1886.6</v>
      </c>
      <c r="J87" s="23">
        <f>J90+J89</f>
        <v>5719.7</v>
      </c>
      <c r="K87" s="23">
        <f>K90+K89</f>
        <v>5899</v>
      </c>
      <c r="L87" s="23">
        <f t="shared" ref="L87:M87" si="65">L90+L89</f>
        <v>5839</v>
      </c>
      <c r="M87" s="23">
        <f t="shared" si="65"/>
        <v>5839</v>
      </c>
      <c r="N87" s="37"/>
    </row>
    <row r="88" spans="1:14" ht="18.75" customHeight="1" x14ac:dyDescent="0.25">
      <c r="A88" s="47">
        <v>75</v>
      </c>
      <c r="B88" s="13" t="s">
        <v>4</v>
      </c>
      <c r="C88" s="13">
        <f t="shared" si="61"/>
        <v>0</v>
      </c>
      <c r="D88" s="24"/>
      <c r="E88" s="24"/>
      <c r="F88" s="24"/>
      <c r="G88" s="24"/>
      <c r="H88" s="24"/>
      <c r="I88" s="24"/>
      <c r="J88" s="24"/>
      <c r="K88" s="24"/>
      <c r="L88" s="38"/>
      <c r="M88" s="38"/>
      <c r="N88" s="37"/>
    </row>
    <row r="89" spans="1:14" ht="18.75" customHeight="1" x14ac:dyDescent="0.25">
      <c r="A89" s="47">
        <v>76</v>
      </c>
      <c r="B89" s="13" t="s">
        <v>2</v>
      </c>
      <c r="C89" s="13">
        <f t="shared" si="61"/>
        <v>25183.3</v>
      </c>
      <c r="D89" s="13"/>
      <c r="E89" s="13"/>
      <c r="F89" s="13"/>
      <c r="G89" s="13"/>
      <c r="H89" s="13"/>
      <c r="I89" s="13">
        <f>1916.5-29.9</f>
        <v>1886.6</v>
      </c>
      <c r="J89" s="13">
        <f>5298.8+361+59.9</f>
        <v>5719.7</v>
      </c>
      <c r="K89" s="13">
        <f>5839+60</f>
        <v>5899</v>
      </c>
      <c r="L89" s="37">
        <v>5839</v>
      </c>
      <c r="M89" s="37">
        <v>5839</v>
      </c>
      <c r="N89" s="37"/>
    </row>
    <row r="90" spans="1:14" ht="18.75" customHeight="1" x14ac:dyDescent="0.25">
      <c r="A90" s="47">
        <v>77</v>
      </c>
      <c r="B90" s="13" t="s">
        <v>3</v>
      </c>
      <c r="C90" s="13">
        <f t="shared" si="61"/>
        <v>0</v>
      </c>
      <c r="D90" s="13"/>
      <c r="E90" s="13"/>
      <c r="F90" s="13"/>
      <c r="G90" s="13"/>
      <c r="H90" s="13"/>
      <c r="I90" s="13"/>
      <c r="J90" s="13"/>
      <c r="K90" s="13"/>
      <c r="L90" s="37"/>
      <c r="M90" s="37"/>
      <c r="N90" s="37"/>
    </row>
    <row r="91" spans="1:14" ht="18.75" customHeight="1" x14ac:dyDescent="0.25">
      <c r="A91" s="47">
        <v>78</v>
      </c>
      <c r="B91" s="20" t="s">
        <v>5</v>
      </c>
      <c r="C91" s="13">
        <f t="shared" si="61"/>
        <v>0</v>
      </c>
      <c r="D91" s="13"/>
      <c r="E91" s="13"/>
      <c r="F91" s="13"/>
      <c r="G91" s="13"/>
      <c r="H91" s="13"/>
      <c r="I91" s="13"/>
      <c r="J91" s="13"/>
      <c r="K91" s="13"/>
      <c r="L91" s="37"/>
      <c r="M91" s="37"/>
      <c r="N91" s="37"/>
    </row>
    <row r="92" spans="1:14" ht="125.25" customHeight="1" x14ac:dyDescent="0.25">
      <c r="A92" s="47">
        <v>79</v>
      </c>
      <c r="B92" s="20" t="s">
        <v>61</v>
      </c>
      <c r="C92" s="13">
        <f t="shared" si="61"/>
        <v>22648.25</v>
      </c>
      <c r="D92" s="23">
        <f>D93</f>
        <v>0</v>
      </c>
      <c r="E92" s="23">
        <f t="shared" ref="E92:F92" si="66">E93</f>
        <v>0</v>
      </c>
      <c r="F92" s="23">
        <f t="shared" si="66"/>
        <v>0</v>
      </c>
      <c r="G92" s="23">
        <f>G95</f>
        <v>0</v>
      </c>
      <c r="H92" s="23">
        <f>H95</f>
        <v>0</v>
      </c>
      <c r="I92" s="23">
        <f>I94+I95</f>
        <v>1989.5499999999997</v>
      </c>
      <c r="J92" s="23">
        <f t="shared" ref="J92:L92" si="67">J94+J95</f>
        <v>3500</v>
      </c>
      <c r="K92" s="23">
        <f t="shared" si="67"/>
        <v>4567.1000000000004</v>
      </c>
      <c r="L92" s="23">
        <f t="shared" si="67"/>
        <v>6206.8</v>
      </c>
      <c r="M92" s="23">
        <f t="shared" ref="M92" si="68">M94+M95</f>
        <v>6384.7999999999993</v>
      </c>
      <c r="N92" s="37"/>
    </row>
    <row r="93" spans="1:14" ht="18.75" customHeight="1" x14ac:dyDescent="0.25">
      <c r="A93" s="47">
        <v>80</v>
      </c>
      <c r="B93" s="13" t="s">
        <v>4</v>
      </c>
      <c r="C93" s="13">
        <f t="shared" si="61"/>
        <v>0</v>
      </c>
      <c r="D93" s="24"/>
      <c r="E93" s="24"/>
      <c r="F93" s="24"/>
      <c r="G93" s="24"/>
      <c r="H93" s="24"/>
      <c r="I93" s="24"/>
      <c r="J93" s="24"/>
      <c r="K93" s="24"/>
      <c r="L93" s="38"/>
      <c r="M93" s="38"/>
      <c r="N93" s="37"/>
    </row>
    <row r="94" spans="1:14" ht="18.75" customHeight="1" x14ac:dyDescent="0.25">
      <c r="A94" s="47">
        <v>81</v>
      </c>
      <c r="B94" s="13" t="s">
        <v>2</v>
      </c>
      <c r="C94" s="13">
        <f t="shared" si="61"/>
        <v>14449.66</v>
      </c>
      <c r="D94" s="13"/>
      <c r="E94" s="13"/>
      <c r="F94" s="13"/>
      <c r="G94" s="13"/>
      <c r="H94" s="13"/>
      <c r="I94" s="13">
        <f>1491.12-236</f>
        <v>1255.1199999999999</v>
      </c>
      <c r="J94" s="13">
        <f>6521.2-2152-2024.2</f>
        <v>2345</v>
      </c>
      <c r="K94" s="13">
        <f>4373.16-1960</f>
        <v>2413.16</v>
      </c>
      <c r="L94" s="37">
        <v>4158.5600000000004</v>
      </c>
      <c r="M94" s="37">
        <v>4277.82</v>
      </c>
      <c r="N94" s="37"/>
    </row>
    <row r="95" spans="1:14" ht="18.75" customHeight="1" x14ac:dyDescent="0.25">
      <c r="A95" s="47">
        <v>82</v>
      </c>
      <c r="B95" s="13" t="s">
        <v>3</v>
      </c>
      <c r="C95" s="13">
        <f t="shared" si="61"/>
        <v>8198.59</v>
      </c>
      <c r="D95" s="13"/>
      <c r="E95" s="13"/>
      <c r="F95" s="13"/>
      <c r="G95" s="13"/>
      <c r="H95" s="13"/>
      <c r="I95" s="13">
        <v>734.43</v>
      </c>
      <c r="J95" s="13">
        <f>2152-997</f>
        <v>1155</v>
      </c>
      <c r="K95" s="13">
        <v>2153.94</v>
      </c>
      <c r="L95" s="37">
        <v>2048.2399999999998</v>
      </c>
      <c r="M95" s="37">
        <v>2106.98</v>
      </c>
      <c r="N95" s="37"/>
    </row>
    <row r="96" spans="1:14" ht="18.75" customHeight="1" x14ac:dyDescent="0.25">
      <c r="A96" s="47">
        <v>83</v>
      </c>
      <c r="B96" s="20" t="s">
        <v>5</v>
      </c>
      <c r="C96" s="13">
        <f t="shared" si="61"/>
        <v>0</v>
      </c>
      <c r="D96" s="13"/>
      <c r="E96" s="13"/>
      <c r="F96" s="13"/>
      <c r="G96" s="13"/>
      <c r="H96" s="13"/>
      <c r="I96" s="13"/>
      <c r="J96" s="13"/>
      <c r="K96" s="13"/>
      <c r="L96" s="37"/>
      <c r="M96" s="37"/>
      <c r="N96" s="37"/>
    </row>
    <row r="97" spans="1:14" ht="171.75" customHeight="1" x14ac:dyDescent="0.25">
      <c r="A97" s="59"/>
      <c r="B97" s="20" t="s">
        <v>73</v>
      </c>
      <c r="C97" s="13">
        <f t="shared" ref="C97:C101" si="69">SUM(D97:M97)</f>
        <v>217.03</v>
      </c>
      <c r="D97" s="23">
        <f>D98</f>
        <v>0</v>
      </c>
      <c r="E97" s="23">
        <f t="shared" ref="E97:F97" si="70">E98</f>
        <v>0</v>
      </c>
      <c r="F97" s="23">
        <f t="shared" si="70"/>
        <v>0</v>
      </c>
      <c r="G97" s="23">
        <f>G100</f>
        <v>0</v>
      </c>
      <c r="H97" s="23">
        <f>H100</f>
        <v>0</v>
      </c>
      <c r="I97" s="23">
        <f>I99+I100</f>
        <v>0</v>
      </c>
      <c r="J97" s="23">
        <f t="shared" ref="J97:M97" si="71">J99+J100</f>
        <v>0</v>
      </c>
      <c r="K97" s="23">
        <f t="shared" si="71"/>
        <v>217.03</v>
      </c>
      <c r="L97" s="23">
        <f t="shared" si="71"/>
        <v>0</v>
      </c>
      <c r="M97" s="23">
        <f t="shared" si="71"/>
        <v>0</v>
      </c>
      <c r="N97" s="37"/>
    </row>
    <row r="98" spans="1:14" ht="18.75" customHeight="1" x14ac:dyDescent="0.25">
      <c r="A98" s="59"/>
      <c r="B98" s="13" t="s">
        <v>4</v>
      </c>
      <c r="C98" s="13">
        <f t="shared" si="69"/>
        <v>0</v>
      </c>
      <c r="D98" s="24"/>
      <c r="E98" s="24"/>
      <c r="F98" s="24"/>
      <c r="G98" s="24"/>
      <c r="H98" s="24"/>
      <c r="I98" s="24"/>
      <c r="J98" s="24"/>
      <c r="K98" s="24"/>
      <c r="L98" s="38"/>
      <c r="M98" s="38"/>
      <c r="N98" s="37"/>
    </row>
    <row r="99" spans="1:14" ht="18.75" customHeight="1" x14ac:dyDescent="0.25">
      <c r="A99" s="59"/>
      <c r="B99" s="13" t="s">
        <v>2</v>
      </c>
      <c r="C99" s="13">
        <f t="shared" si="69"/>
        <v>0</v>
      </c>
      <c r="D99" s="13"/>
      <c r="E99" s="13"/>
      <c r="F99" s="13"/>
      <c r="G99" s="13"/>
      <c r="H99" s="13"/>
      <c r="I99" s="13"/>
      <c r="J99" s="13"/>
      <c r="K99" s="13"/>
      <c r="L99" s="37"/>
      <c r="M99" s="37"/>
      <c r="N99" s="37"/>
    </row>
    <row r="100" spans="1:14" ht="18.75" customHeight="1" x14ac:dyDescent="0.25">
      <c r="A100" s="59"/>
      <c r="B100" s="13" t="s">
        <v>3</v>
      </c>
      <c r="C100" s="13">
        <f t="shared" si="69"/>
        <v>217.03</v>
      </c>
      <c r="D100" s="13"/>
      <c r="E100" s="13"/>
      <c r="F100" s="13"/>
      <c r="G100" s="13"/>
      <c r="H100" s="13"/>
      <c r="I100" s="13"/>
      <c r="J100" s="13"/>
      <c r="K100" s="13">
        <v>217.03</v>
      </c>
      <c r="L100" s="37"/>
      <c r="M100" s="37"/>
      <c r="N100" s="37"/>
    </row>
    <row r="101" spans="1:14" ht="18.75" customHeight="1" x14ac:dyDescent="0.25">
      <c r="A101" s="59"/>
      <c r="B101" s="20" t="s">
        <v>5</v>
      </c>
      <c r="C101" s="13">
        <f t="shared" si="69"/>
        <v>0</v>
      </c>
      <c r="D101" s="13"/>
      <c r="E101" s="13"/>
      <c r="F101" s="13"/>
      <c r="G101" s="13"/>
      <c r="H101" s="13"/>
      <c r="I101" s="13"/>
      <c r="J101" s="13"/>
      <c r="K101" s="13"/>
      <c r="L101" s="37"/>
      <c r="M101" s="37"/>
      <c r="N101" s="37"/>
    </row>
    <row r="102" spans="1:14" ht="24" customHeight="1" x14ac:dyDescent="0.25">
      <c r="A102" s="47">
        <v>84</v>
      </c>
      <c r="B102" s="78" t="s">
        <v>53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</row>
    <row r="103" spans="1:14" ht="35.25" customHeight="1" x14ac:dyDescent="0.25">
      <c r="A103" s="47">
        <v>85</v>
      </c>
      <c r="B103" s="11" t="s">
        <v>11</v>
      </c>
      <c r="C103" s="11">
        <f>SUM(D103:M103)</f>
        <v>253196.96000000002</v>
      </c>
      <c r="D103" s="11">
        <f t="shared" ref="D103:L103" si="72">D104+D105+D106+D107</f>
        <v>16091.300000000001</v>
      </c>
      <c r="E103" s="11">
        <f t="shared" si="72"/>
        <v>14670.199999999997</v>
      </c>
      <c r="F103" s="11">
        <f t="shared" si="72"/>
        <v>14004.5</v>
      </c>
      <c r="G103" s="11">
        <f t="shared" si="72"/>
        <v>14475</v>
      </c>
      <c r="H103" s="11">
        <f t="shared" si="72"/>
        <v>14588.359999999999</v>
      </c>
      <c r="I103" s="11">
        <f t="shared" si="72"/>
        <v>28823.54</v>
      </c>
      <c r="J103" s="11">
        <f t="shared" si="72"/>
        <v>34309.86</v>
      </c>
      <c r="K103" s="11">
        <f t="shared" si="72"/>
        <v>38594.200000000004</v>
      </c>
      <c r="L103" s="11">
        <f t="shared" si="72"/>
        <v>36740</v>
      </c>
      <c r="M103" s="11">
        <f t="shared" ref="M103" si="73">M104+M105+M106+M107</f>
        <v>40900</v>
      </c>
      <c r="N103" s="57"/>
    </row>
    <row r="104" spans="1:14" ht="16.5" customHeight="1" x14ac:dyDescent="0.25">
      <c r="A104" s="47">
        <v>86</v>
      </c>
      <c r="B104" s="13" t="s">
        <v>4</v>
      </c>
      <c r="C104" s="13">
        <f>SUM(D104:M104)</f>
        <v>240113.26</v>
      </c>
      <c r="D104" s="13">
        <f t="shared" ref="D104:H104" si="74">D109</f>
        <v>14966.7</v>
      </c>
      <c r="E104" s="13">
        <f>E109</f>
        <v>13404.399999999998</v>
      </c>
      <c r="F104" s="13">
        <f t="shared" si="74"/>
        <v>12988</v>
      </c>
      <c r="G104" s="13">
        <f t="shared" si="74"/>
        <v>12642.3</v>
      </c>
      <c r="H104" s="13">
        <f t="shared" si="74"/>
        <v>12957.06</v>
      </c>
      <c r="I104" s="13">
        <f>I109</f>
        <v>26751.040000000001</v>
      </c>
      <c r="J104" s="13">
        <f>J109</f>
        <v>32407.56</v>
      </c>
      <c r="K104" s="13">
        <f t="shared" ref="K104:L104" si="75">K109</f>
        <v>36356.200000000004</v>
      </c>
      <c r="L104" s="13">
        <f t="shared" si="75"/>
        <v>36740</v>
      </c>
      <c r="M104" s="13">
        <f t="shared" ref="M104" si="76">M109</f>
        <v>40900</v>
      </c>
      <c r="N104" s="57"/>
    </row>
    <row r="105" spans="1:14" ht="15.75" customHeight="1" x14ac:dyDescent="0.25">
      <c r="A105" s="47">
        <v>87</v>
      </c>
      <c r="B105" s="13" t="s">
        <v>2</v>
      </c>
      <c r="C105" s="13">
        <f t="shared" ref="C105:C107" si="77">SUM(D105:M105)</f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57"/>
    </row>
    <row r="106" spans="1:14" ht="19.5" customHeight="1" x14ac:dyDescent="0.25">
      <c r="A106" s="47">
        <v>88</v>
      </c>
      <c r="B106" s="13" t="s">
        <v>3</v>
      </c>
      <c r="C106" s="13">
        <f t="shared" si="77"/>
        <v>13083.699999999999</v>
      </c>
      <c r="D106" s="13">
        <f t="shared" ref="D106:H106" si="78">D111</f>
        <v>1124.5999999999999</v>
      </c>
      <c r="E106" s="13">
        <f t="shared" si="78"/>
        <v>1265.8</v>
      </c>
      <c r="F106" s="13">
        <f t="shared" si="78"/>
        <v>1016.5</v>
      </c>
      <c r="G106" s="13">
        <f t="shared" si="78"/>
        <v>1832.7</v>
      </c>
      <c r="H106" s="13">
        <f t="shared" si="78"/>
        <v>1631.3</v>
      </c>
      <c r="I106" s="13">
        <f>I111</f>
        <v>2072.5</v>
      </c>
      <c r="J106" s="13">
        <f t="shared" ref="J106:L106" si="79">J111</f>
        <v>1902.3</v>
      </c>
      <c r="K106" s="13">
        <f t="shared" si="79"/>
        <v>2238</v>
      </c>
      <c r="L106" s="13">
        <f t="shared" si="79"/>
        <v>0</v>
      </c>
      <c r="M106" s="13">
        <f t="shared" ref="M106" si="80">M111</f>
        <v>0</v>
      </c>
      <c r="N106" s="26"/>
    </row>
    <row r="107" spans="1:14" ht="17.25" customHeight="1" x14ac:dyDescent="0.25">
      <c r="A107" s="47">
        <v>89</v>
      </c>
      <c r="B107" s="13" t="s">
        <v>5</v>
      </c>
      <c r="C107" s="13">
        <f t="shared" si="77"/>
        <v>0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57"/>
    </row>
    <row r="108" spans="1:14" ht="18" customHeight="1" x14ac:dyDescent="0.25">
      <c r="A108" s="47">
        <v>90</v>
      </c>
      <c r="B108" s="26" t="s">
        <v>24</v>
      </c>
      <c r="C108" s="11">
        <f>SUM(D108:M108)</f>
        <v>253196.96000000002</v>
      </c>
      <c r="D108" s="11">
        <f t="shared" ref="D108:L108" si="81">D109+D110+D111+D112</f>
        <v>16091.300000000001</v>
      </c>
      <c r="E108" s="11">
        <f>E109+E110+E111+E112</f>
        <v>14670.199999999997</v>
      </c>
      <c r="F108" s="11">
        <f t="shared" si="81"/>
        <v>14004.5</v>
      </c>
      <c r="G108" s="11">
        <f t="shared" si="81"/>
        <v>14475</v>
      </c>
      <c r="H108" s="11">
        <f t="shared" si="81"/>
        <v>14588.359999999999</v>
      </c>
      <c r="I108" s="11">
        <f t="shared" si="81"/>
        <v>28823.54</v>
      </c>
      <c r="J108" s="11">
        <f t="shared" si="81"/>
        <v>34309.86</v>
      </c>
      <c r="K108" s="11">
        <f t="shared" si="81"/>
        <v>38594.200000000004</v>
      </c>
      <c r="L108" s="11">
        <f t="shared" si="81"/>
        <v>36740</v>
      </c>
      <c r="M108" s="11">
        <f t="shared" ref="M108" si="82">M109+M110+M111+M112</f>
        <v>40900</v>
      </c>
      <c r="N108" s="57"/>
    </row>
    <row r="109" spans="1:14" ht="17.25" customHeight="1" x14ac:dyDescent="0.25">
      <c r="A109" s="47">
        <v>91</v>
      </c>
      <c r="B109" s="13" t="s">
        <v>4</v>
      </c>
      <c r="C109" s="13">
        <f>SUM(D109:M109)</f>
        <v>240113.26</v>
      </c>
      <c r="D109" s="13">
        <f>D114+D119</f>
        <v>14966.7</v>
      </c>
      <c r="E109" s="13">
        <f t="shared" ref="E109:L109" si="83">E114+E119</f>
        <v>13404.399999999998</v>
      </c>
      <c r="F109" s="13">
        <f t="shared" si="83"/>
        <v>12988</v>
      </c>
      <c r="G109" s="13">
        <f t="shared" si="83"/>
        <v>12642.3</v>
      </c>
      <c r="H109" s="13">
        <f t="shared" si="83"/>
        <v>12957.06</v>
      </c>
      <c r="I109" s="13">
        <f>I114+I119</f>
        <v>26751.040000000001</v>
      </c>
      <c r="J109" s="13">
        <f>J114+J119</f>
        <v>32407.56</v>
      </c>
      <c r="K109" s="13">
        <f t="shared" si="83"/>
        <v>36356.200000000004</v>
      </c>
      <c r="L109" s="13">
        <f t="shared" si="83"/>
        <v>36740</v>
      </c>
      <c r="M109" s="13">
        <f t="shared" ref="M109" si="84">M114+M119</f>
        <v>40900</v>
      </c>
      <c r="N109" s="57"/>
    </row>
    <row r="110" spans="1:14" ht="18.75" customHeight="1" x14ac:dyDescent="0.25">
      <c r="A110" s="47">
        <v>92</v>
      </c>
      <c r="B110" s="13" t="s">
        <v>2</v>
      </c>
      <c r="C110" s="13">
        <f t="shared" ref="C110:C122" si="85">SUM(D110:M110)</f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57"/>
    </row>
    <row r="111" spans="1:14" ht="17.25" customHeight="1" x14ac:dyDescent="0.25">
      <c r="A111" s="47">
        <v>93</v>
      </c>
      <c r="B111" s="13" t="s">
        <v>3</v>
      </c>
      <c r="C111" s="13">
        <f t="shared" si="85"/>
        <v>13083.699999999999</v>
      </c>
      <c r="D111" s="13">
        <f t="shared" ref="D111:H111" si="86">D116</f>
        <v>1124.5999999999999</v>
      </c>
      <c r="E111" s="13">
        <f t="shared" si="86"/>
        <v>1265.8</v>
      </c>
      <c r="F111" s="13">
        <f t="shared" si="86"/>
        <v>1016.5</v>
      </c>
      <c r="G111" s="13">
        <f t="shared" si="86"/>
        <v>1832.7</v>
      </c>
      <c r="H111" s="13">
        <f t="shared" si="86"/>
        <v>1631.3</v>
      </c>
      <c r="I111" s="13">
        <f>I116</f>
        <v>2072.5</v>
      </c>
      <c r="J111" s="13">
        <f t="shared" ref="J111:L111" si="87">J116</f>
        <v>1902.3</v>
      </c>
      <c r="K111" s="13">
        <f t="shared" si="87"/>
        <v>2238</v>
      </c>
      <c r="L111" s="13">
        <f t="shared" si="87"/>
        <v>0</v>
      </c>
      <c r="M111" s="13">
        <f t="shared" ref="M111" si="88">M116</f>
        <v>0</v>
      </c>
      <c r="N111" s="57"/>
    </row>
    <row r="112" spans="1:14" ht="17.25" customHeight="1" x14ac:dyDescent="0.25">
      <c r="A112" s="47">
        <v>94</v>
      </c>
      <c r="B112" s="13" t="s">
        <v>5</v>
      </c>
      <c r="C112" s="13">
        <f t="shared" si="85"/>
        <v>0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57"/>
    </row>
    <row r="113" spans="1:14" ht="79.5" customHeight="1" x14ac:dyDescent="0.25">
      <c r="A113" s="47">
        <v>95</v>
      </c>
      <c r="B113" s="13" t="s">
        <v>28</v>
      </c>
      <c r="C113" s="13">
        <f t="shared" si="85"/>
        <v>253196.96000000002</v>
      </c>
      <c r="D113" s="13">
        <f t="shared" ref="D113:H113" si="89">D114+D115+D116+D117</f>
        <v>16091.300000000001</v>
      </c>
      <c r="E113" s="13">
        <f>E114+E115+E116+E117</f>
        <v>14670.199999999997</v>
      </c>
      <c r="F113" s="13">
        <f t="shared" si="89"/>
        <v>14004.5</v>
      </c>
      <c r="G113" s="13">
        <f t="shared" si="89"/>
        <v>14475</v>
      </c>
      <c r="H113" s="13">
        <f t="shared" si="89"/>
        <v>14588.359999999999</v>
      </c>
      <c r="I113" s="13">
        <f>I114+I115+I116+I117</f>
        <v>28823.54</v>
      </c>
      <c r="J113" s="13">
        <f>J114+J115+J116+J117</f>
        <v>34309.86</v>
      </c>
      <c r="K113" s="13">
        <f t="shared" ref="K113:L113" si="90">K114+K115+K116+K117</f>
        <v>38594.200000000004</v>
      </c>
      <c r="L113" s="13">
        <f t="shared" si="90"/>
        <v>36740</v>
      </c>
      <c r="M113" s="13">
        <f t="shared" ref="M113" si="91">M114+M115+M116+M117</f>
        <v>40900</v>
      </c>
      <c r="N113" s="13" t="s">
        <v>37</v>
      </c>
    </row>
    <row r="114" spans="1:14" x14ac:dyDescent="0.25">
      <c r="A114" s="47">
        <v>96</v>
      </c>
      <c r="B114" s="13" t="s">
        <v>16</v>
      </c>
      <c r="C114" s="13">
        <f t="shared" si="85"/>
        <v>240113.26</v>
      </c>
      <c r="D114" s="13">
        <f>16880.8-57.8-92.3-1764</f>
        <v>14966.7</v>
      </c>
      <c r="E114" s="13">
        <f>14265.3-818.2-42.7</f>
        <v>13404.399999999998</v>
      </c>
      <c r="F114" s="13">
        <f>15892.5-2864.7-39.8</f>
        <v>12988</v>
      </c>
      <c r="G114" s="13">
        <v>12642.3</v>
      </c>
      <c r="H114" s="13">
        <v>12957.06</v>
      </c>
      <c r="I114" s="13">
        <f>27524.04-126.67+126.67-773</f>
        <v>26751.040000000001</v>
      </c>
      <c r="J114" s="13">
        <f>32647.56-79.8-240+79.8</f>
        <v>32407.56</v>
      </c>
      <c r="K114" s="13">
        <f>36273.94+82.26</f>
        <v>36356.200000000004</v>
      </c>
      <c r="L114" s="13">
        <v>36740</v>
      </c>
      <c r="M114" s="13">
        <v>40900</v>
      </c>
      <c r="N114" s="13"/>
    </row>
    <row r="115" spans="1:14" ht="21.75" customHeight="1" x14ac:dyDescent="0.25">
      <c r="A115" s="47">
        <v>97</v>
      </c>
      <c r="B115" s="13" t="s">
        <v>2</v>
      </c>
      <c r="C115" s="13">
        <f t="shared" si="85"/>
        <v>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 t="s">
        <v>1</v>
      </c>
    </row>
    <row r="116" spans="1:14" x14ac:dyDescent="0.25">
      <c r="A116" s="47">
        <v>98</v>
      </c>
      <c r="B116" s="13" t="s">
        <v>15</v>
      </c>
      <c r="C116" s="13">
        <f t="shared" si="85"/>
        <v>13083.699999999999</v>
      </c>
      <c r="D116" s="13">
        <v>1124.5999999999999</v>
      </c>
      <c r="E116" s="13">
        <f>1167.5+98.3</f>
        <v>1265.8</v>
      </c>
      <c r="F116" s="13">
        <v>1016.5</v>
      </c>
      <c r="G116" s="13">
        <v>1832.7</v>
      </c>
      <c r="H116" s="13">
        <v>1631.3</v>
      </c>
      <c r="I116" s="13">
        <v>2072.5</v>
      </c>
      <c r="J116" s="13">
        <v>1902.3</v>
      </c>
      <c r="K116" s="13">
        <f>2238</f>
        <v>2238</v>
      </c>
      <c r="L116" s="13"/>
      <c r="M116" s="13"/>
      <c r="N116" s="13" t="s">
        <v>1</v>
      </c>
    </row>
    <row r="117" spans="1:14" x14ac:dyDescent="0.25">
      <c r="A117" s="47">
        <v>100</v>
      </c>
      <c r="B117" s="27" t="s">
        <v>5</v>
      </c>
      <c r="C117" s="13">
        <f t="shared" si="85"/>
        <v>0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3"/>
    </row>
    <row r="118" spans="1:14" ht="65.25" customHeight="1" x14ac:dyDescent="0.25">
      <c r="A118" s="47">
        <v>101</v>
      </c>
      <c r="B118" s="13" t="s">
        <v>58</v>
      </c>
      <c r="C118" s="13">
        <f t="shared" si="85"/>
        <v>0</v>
      </c>
      <c r="D118" s="13">
        <f t="shared" ref="D118" si="92">D119+D120+D121+D122</f>
        <v>0</v>
      </c>
      <c r="E118" s="13">
        <f>E119+E120+E121+E122</f>
        <v>0</v>
      </c>
      <c r="F118" s="13">
        <f t="shared" ref="F118:K118" si="93">F119+F120+F121+F122</f>
        <v>0</v>
      </c>
      <c r="G118" s="13">
        <f t="shared" si="93"/>
        <v>0</v>
      </c>
      <c r="H118" s="13">
        <f t="shared" si="93"/>
        <v>0</v>
      </c>
      <c r="I118" s="13">
        <f t="shared" si="93"/>
        <v>0</v>
      </c>
      <c r="J118" s="13">
        <f>J119+J120+J121+J122</f>
        <v>0</v>
      </c>
      <c r="K118" s="13">
        <f t="shared" si="93"/>
        <v>0</v>
      </c>
      <c r="L118" s="37"/>
      <c r="M118" s="37"/>
      <c r="N118" s="20"/>
    </row>
    <row r="119" spans="1:14" x14ac:dyDescent="0.25">
      <c r="A119" s="47">
        <v>102</v>
      </c>
      <c r="B119" s="13" t="s">
        <v>16</v>
      </c>
      <c r="C119" s="13">
        <f t="shared" si="85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f>454.27-454.27</f>
        <v>0</v>
      </c>
      <c r="J119" s="13"/>
      <c r="K119" s="13"/>
      <c r="L119" s="37"/>
      <c r="M119" s="37"/>
      <c r="N119" s="20"/>
    </row>
    <row r="120" spans="1:14" x14ac:dyDescent="0.25">
      <c r="A120" s="47">
        <v>103</v>
      </c>
      <c r="B120" s="13" t="s">
        <v>2</v>
      </c>
      <c r="C120" s="13">
        <f t="shared" si="85"/>
        <v>0</v>
      </c>
      <c r="D120" s="13"/>
      <c r="E120" s="13"/>
      <c r="F120" s="13"/>
      <c r="G120" s="13"/>
      <c r="H120" s="13"/>
      <c r="I120" s="13"/>
      <c r="J120" s="13"/>
      <c r="K120" s="13"/>
      <c r="L120" s="37"/>
      <c r="M120" s="37"/>
      <c r="N120" s="20"/>
    </row>
    <row r="121" spans="1:14" x14ac:dyDescent="0.25">
      <c r="A121" s="47">
        <v>104</v>
      </c>
      <c r="B121" s="13" t="s">
        <v>15</v>
      </c>
      <c r="C121" s="13">
        <f t="shared" si="85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37"/>
      <c r="M121" s="37"/>
      <c r="N121" s="20"/>
    </row>
    <row r="122" spans="1:14" x14ac:dyDescent="0.25">
      <c r="A122" s="47">
        <v>105</v>
      </c>
      <c r="B122" s="27" t="s">
        <v>5</v>
      </c>
      <c r="C122" s="13">
        <f t="shared" si="85"/>
        <v>0</v>
      </c>
      <c r="D122" s="11"/>
      <c r="E122" s="11"/>
      <c r="F122" s="11"/>
      <c r="G122" s="11"/>
      <c r="H122" s="11"/>
      <c r="I122" s="11"/>
      <c r="J122" s="11"/>
      <c r="K122" s="11"/>
      <c r="L122" s="39"/>
      <c r="M122" s="39"/>
      <c r="N122" s="13"/>
    </row>
    <row r="123" spans="1:14" x14ac:dyDescent="0.25">
      <c r="A123" s="47">
        <v>106</v>
      </c>
      <c r="B123" s="78" t="s">
        <v>17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80"/>
    </row>
    <row r="124" spans="1:14" ht="30" x14ac:dyDescent="0.25">
      <c r="A124" s="47">
        <v>107</v>
      </c>
      <c r="B124" s="11" t="s">
        <v>30</v>
      </c>
      <c r="C124" s="11">
        <f>SUM(D124:M124)</f>
        <v>56760.990000000005</v>
      </c>
      <c r="D124" s="11">
        <f t="shared" ref="D124:L128" si="94">D129</f>
        <v>4559.5</v>
      </c>
      <c r="E124" s="11">
        <f t="shared" si="94"/>
        <v>4899.5</v>
      </c>
      <c r="F124" s="11">
        <f>F129</f>
        <v>5664</v>
      </c>
      <c r="G124" s="11">
        <f t="shared" si="94"/>
        <v>6017.4</v>
      </c>
      <c r="H124" s="11">
        <f t="shared" si="94"/>
        <v>6604</v>
      </c>
      <c r="I124" s="11">
        <f t="shared" si="94"/>
        <v>42.720000000000233</v>
      </c>
      <c r="J124" s="11">
        <f t="shared" si="94"/>
        <v>6376.98</v>
      </c>
      <c r="K124" s="11">
        <f t="shared" si="94"/>
        <v>8474.39</v>
      </c>
      <c r="L124" s="11">
        <f t="shared" si="94"/>
        <v>6891.4</v>
      </c>
      <c r="M124" s="11">
        <f t="shared" ref="M124" si="95">M129</f>
        <v>7231.1</v>
      </c>
      <c r="N124" s="57"/>
    </row>
    <row r="125" spans="1:14" x14ac:dyDescent="0.25">
      <c r="A125" s="47">
        <v>108</v>
      </c>
      <c r="B125" s="13" t="s">
        <v>4</v>
      </c>
      <c r="C125" s="13">
        <f>SUM(D125:M125)</f>
        <v>29125.29</v>
      </c>
      <c r="D125" s="13">
        <f t="shared" si="94"/>
        <v>1575</v>
      </c>
      <c r="E125" s="13">
        <f t="shared" si="94"/>
        <v>1915</v>
      </c>
      <c r="F125" s="13">
        <f t="shared" si="94"/>
        <v>2990</v>
      </c>
      <c r="G125" s="13">
        <f t="shared" si="94"/>
        <v>3254.7</v>
      </c>
      <c r="H125" s="13">
        <f t="shared" si="94"/>
        <v>3717.6000000000004</v>
      </c>
      <c r="I125" s="13">
        <f t="shared" si="94"/>
        <v>42.720000000000233</v>
      </c>
      <c r="J125" s="13">
        <f t="shared" si="94"/>
        <v>3653.98</v>
      </c>
      <c r="K125" s="13">
        <f t="shared" si="94"/>
        <v>4976.29</v>
      </c>
      <c r="L125" s="13">
        <f t="shared" si="94"/>
        <v>3400</v>
      </c>
      <c r="M125" s="13">
        <f t="shared" ref="M125" si="96">M130</f>
        <v>3600</v>
      </c>
      <c r="N125" s="13" t="s">
        <v>1</v>
      </c>
    </row>
    <row r="126" spans="1:14" x14ac:dyDescent="0.25">
      <c r="A126" s="47">
        <v>109</v>
      </c>
      <c r="B126" s="13" t="s">
        <v>2</v>
      </c>
      <c r="C126" s="13">
        <f t="shared" ref="C126:C128" si="97">SUM(D126:M126)</f>
        <v>0</v>
      </c>
      <c r="D126" s="13">
        <f t="shared" si="94"/>
        <v>0</v>
      </c>
      <c r="E126" s="13">
        <f t="shared" si="94"/>
        <v>0</v>
      </c>
      <c r="F126" s="13">
        <f t="shared" si="94"/>
        <v>0</v>
      </c>
      <c r="G126" s="13">
        <f t="shared" si="94"/>
        <v>0</v>
      </c>
      <c r="H126" s="13">
        <f t="shared" si="94"/>
        <v>0</v>
      </c>
      <c r="I126" s="13">
        <f t="shared" si="94"/>
        <v>0</v>
      </c>
      <c r="J126" s="13">
        <f t="shared" si="94"/>
        <v>0</v>
      </c>
      <c r="K126" s="13">
        <f t="shared" si="94"/>
        <v>0</v>
      </c>
      <c r="L126" s="13">
        <f t="shared" si="94"/>
        <v>0</v>
      </c>
      <c r="M126" s="13">
        <f t="shared" ref="M126" si="98">M131</f>
        <v>0</v>
      </c>
      <c r="N126" s="13" t="s">
        <v>1</v>
      </c>
    </row>
    <row r="127" spans="1:14" x14ac:dyDescent="0.25">
      <c r="A127" s="47">
        <v>110</v>
      </c>
      <c r="B127" s="13" t="s">
        <v>3</v>
      </c>
      <c r="C127" s="13">
        <f t="shared" si="97"/>
        <v>27635.699999999997</v>
      </c>
      <c r="D127" s="13">
        <f t="shared" si="94"/>
        <v>2984.5</v>
      </c>
      <c r="E127" s="13">
        <f t="shared" si="94"/>
        <v>2984.5</v>
      </c>
      <c r="F127" s="13">
        <f t="shared" si="94"/>
        <v>2674</v>
      </c>
      <c r="G127" s="13">
        <f t="shared" si="94"/>
        <v>2762.7</v>
      </c>
      <c r="H127" s="13">
        <f t="shared" si="94"/>
        <v>2886.4</v>
      </c>
      <c r="I127" s="13">
        <f t="shared" si="94"/>
        <v>0</v>
      </c>
      <c r="J127" s="13">
        <f t="shared" si="94"/>
        <v>2723</v>
      </c>
      <c r="K127" s="13">
        <f t="shared" si="94"/>
        <v>3498.1</v>
      </c>
      <c r="L127" s="13">
        <f t="shared" si="94"/>
        <v>3491.4</v>
      </c>
      <c r="M127" s="13">
        <f t="shared" ref="M127" si="99">M132</f>
        <v>3631.1</v>
      </c>
      <c r="N127" s="13" t="s">
        <v>1</v>
      </c>
    </row>
    <row r="128" spans="1:14" x14ac:dyDescent="0.25">
      <c r="A128" s="47">
        <v>111</v>
      </c>
      <c r="B128" s="13" t="s">
        <v>5</v>
      </c>
      <c r="C128" s="13">
        <f t="shared" si="97"/>
        <v>0</v>
      </c>
      <c r="D128" s="13">
        <f t="shared" si="94"/>
        <v>0</v>
      </c>
      <c r="E128" s="13">
        <f t="shared" si="94"/>
        <v>0</v>
      </c>
      <c r="F128" s="13">
        <f t="shared" si="94"/>
        <v>0</v>
      </c>
      <c r="G128" s="13">
        <f t="shared" si="94"/>
        <v>0</v>
      </c>
      <c r="H128" s="13">
        <f t="shared" si="94"/>
        <v>0</v>
      </c>
      <c r="I128" s="13">
        <f t="shared" si="94"/>
        <v>0</v>
      </c>
      <c r="J128" s="13">
        <f t="shared" si="94"/>
        <v>0</v>
      </c>
      <c r="K128" s="13">
        <f t="shared" si="94"/>
        <v>0</v>
      </c>
      <c r="L128" s="13">
        <f t="shared" si="94"/>
        <v>0</v>
      </c>
      <c r="M128" s="13">
        <f t="shared" ref="M128" si="100">M133</f>
        <v>0</v>
      </c>
      <c r="N128" s="13" t="s">
        <v>1</v>
      </c>
    </row>
    <row r="129" spans="1:18" ht="36" customHeight="1" x14ac:dyDescent="0.25">
      <c r="A129" s="47">
        <v>112</v>
      </c>
      <c r="B129" s="18" t="s">
        <v>48</v>
      </c>
      <c r="C129" s="11">
        <f>SUM(D129:M129)</f>
        <v>56760.990000000005</v>
      </c>
      <c r="D129" s="13">
        <f t="shared" ref="D129:L129" si="101">SUM(D130:D133)</f>
        <v>4559.5</v>
      </c>
      <c r="E129" s="13">
        <f>SUM(E130:E133)</f>
        <v>4899.5</v>
      </c>
      <c r="F129" s="13">
        <f>SUM(F130:F133)</f>
        <v>5664</v>
      </c>
      <c r="G129" s="13">
        <f t="shared" si="101"/>
        <v>6017.4</v>
      </c>
      <c r="H129" s="13">
        <f t="shared" si="101"/>
        <v>6604</v>
      </c>
      <c r="I129" s="13">
        <f t="shared" si="101"/>
        <v>42.720000000000233</v>
      </c>
      <c r="J129" s="13">
        <f t="shared" si="101"/>
        <v>6376.98</v>
      </c>
      <c r="K129" s="13">
        <f t="shared" si="101"/>
        <v>8474.39</v>
      </c>
      <c r="L129" s="13">
        <f t="shared" si="101"/>
        <v>6891.4</v>
      </c>
      <c r="M129" s="13">
        <f t="shared" ref="M129" si="102">SUM(M130:M133)</f>
        <v>7231.1</v>
      </c>
      <c r="N129" s="13" t="s">
        <v>1</v>
      </c>
    </row>
    <row r="130" spans="1:18" x14ac:dyDescent="0.25">
      <c r="A130" s="47">
        <v>113</v>
      </c>
      <c r="B130" s="13" t="s">
        <v>4</v>
      </c>
      <c r="C130" s="13">
        <f>SUM(D130:M130)</f>
        <v>29125.29</v>
      </c>
      <c r="D130" s="13">
        <f t="shared" ref="D130:H130" si="103">D135</f>
        <v>1575</v>
      </c>
      <c r="E130" s="13">
        <f t="shared" si="103"/>
        <v>1915</v>
      </c>
      <c r="F130" s="13">
        <f t="shared" si="103"/>
        <v>2990</v>
      </c>
      <c r="G130" s="13">
        <f t="shared" si="103"/>
        <v>3254.7</v>
      </c>
      <c r="H130" s="13">
        <f t="shared" si="103"/>
        <v>3717.6000000000004</v>
      </c>
      <c r="I130" s="13">
        <f>I135</f>
        <v>42.720000000000233</v>
      </c>
      <c r="J130" s="13">
        <f t="shared" ref="J130:L130" si="104">J135</f>
        <v>3653.98</v>
      </c>
      <c r="K130" s="13">
        <f t="shared" si="104"/>
        <v>4976.29</v>
      </c>
      <c r="L130" s="13">
        <f t="shared" si="104"/>
        <v>3400</v>
      </c>
      <c r="M130" s="13">
        <f t="shared" ref="M130" si="105">M135</f>
        <v>3600</v>
      </c>
      <c r="N130" s="13" t="s">
        <v>1</v>
      </c>
    </row>
    <row r="131" spans="1:18" x14ac:dyDescent="0.25">
      <c r="A131" s="47">
        <v>114</v>
      </c>
      <c r="B131" s="13" t="s">
        <v>2</v>
      </c>
      <c r="C131" s="13">
        <f t="shared" ref="C131:C143" si="106">SUM(D131:M131)</f>
        <v>0</v>
      </c>
      <c r="D131" s="13">
        <f>D136+D141+D147</f>
        <v>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 t="s">
        <v>1</v>
      </c>
    </row>
    <row r="132" spans="1:18" x14ac:dyDescent="0.25">
      <c r="A132" s="47">
        <v>115</v>
      </c>
      <c r="B132" s="13" t="s">
        <v>3</v>
      </c>
      <c r="C132" s="13">
        <f t="shared" si="106"/>
        <v>27635.699999999997</v>
      </c>
      <c r="D132" s="13">
        <f t="shared" ref="D132:L132" si="107">D142</f>
        <v>2984.5</v>
      </c>
      <c r="E132" s="13">
        <f t="shared" si="107"/>
        <v>2984.5</v>
      </c>
      <c r="F132" s="13">
        <f>F142</f>
        <v>2674</v>
      </c>
      <c r="G132" s="13">
        <f t="shared" si="107"/>
        <v>2762.7</v>
      </c>
      <c r="H132" s="13">
        <f t="shared" si="107"/>
        <v>2886.4</v>
      </c>
      <c r="I132" s="13">
        <f t="shared" si="107"/>
        <v>0</v>
      </c>
      <c r="J132" s="13">
        <f t="shared" si="107"/>
        <v>2723</v>
      </c>
      <c r="K132" s="13">
        <f t="shared" si="107"/>
        <v>3498.1</v>
      </c>
      <c r="L132" s="13">
        <f t="shared" si="107"/>
        <v>3491.4</v>
      </c>
      <c r="M132" s="13">
        <f t="shared" ref="M132" si="108">M142</f>
        <v>3631.1</v>
      </c>
      <c r="N132" s="13" t="s">
        <v>1</v>
      </c>
    </row>
    <row r="133" spans="1:18" x14ac:dyDescent="0.25">
      <c r="A133" s="47">
        <v>116</v>
      </c>
      <c r="B133" s="13" t="s">
        <v>5</v>
      </c>
      <c r="C133" s="13">
        <f t="shared" si="106"/>
        <v>0</v>
      </c>
      <c r="D133" s="13">
        <f>D138+D143+D149</f>
        <v>0</v>
      </c>
      <c r="E133" s="13">
        <f t="shared" ref="E133:L133" si="109">E138+E143+E149</f>
        <v>0</v>
      </c>
      <c r="F133" s="13">
        <f t="shared" si="109"/>
        <v>0</v>
      </c>
      <c r="G133" s="13">
        <f>G138+G143</f>
        <v>0</v>
      </c>
      <c r="H133" s="13">
        <f t="shared" si="109"/>
        <v>0</v>
      </c>
      <c r="I133" s="13">
        <f t="shared" si="109"/>
        <v>0</v>
      </c>
      <c r="J133" s="13">
        <f t="shared" si="109"/>
        <v>0</v>
      </c>
      <c r="K133" s="13">
        <f t="shared" si="109"/>
        <v>0</v>
      </c>
      <c r="L133" s="13">
        <f t="shared" si="109"/>
        <v>0</v>
      </c>
      <c r="M133" s="13">
        <f t="shared" ref="M133" si="110">M138+M143+M149</f>
        <v>0</v>
      </c>
      <c r="N133" s="13"/>
      <c r="O133" s="2"/>
      <c r="P133" s="2"/>
      <c r="Q133" s="2"/>
      <c r="R133" s="2"/>
    </row>
    <row r="134" spans="1:18" ht="64.5" customHeight="1" x14ac:dyDescent="0.25">
      <c r="A134" s="47">
        <v>117</v>
      </c>
      <c r="B134" s="13" t="s">
        <v>42</v>
      </c>
      <c r="C134" s="13">
        <f t="shared" si="106"/>
        <v>29125.29</v>
      </c>
      <c r="D134" s="13">
        <f t="shared" ref="D134:J134" si="111">D135+D136+D137+D138</f>
        <v>1575</v>
      </c>
      <c r="E134" s="13">
        <f t="shared" si="111"/>
        <v>1915</v>
      </c>
      <c r="F134" s="13">
        <f>F135+F136+F137+F138</f>
        <v>2990</v>
      </c>
      <c r="G134" s="13">
        <f t="shared" si="111"/>
        <v>3254.7</v>
      </c>
      <c r="H134" s="13">
        <f t="shared" si="111"/>
        <v>3717.6000000000004</v>
      </c>
      <c r="I134" s="13">
        <f t="shared" si="111"/>
        <v>42.720000000000233</v>
      </c>
      <c r="J134" s="13">
        <f t="shared" si="111"/>
        <v>3653.98</v>
      </c>
      <c r="K134" s="13">
        <f>K135+K136+K137+K138</f>
        <v>4976.29</v>
      </c>
      <c r="L134" s="13">
        <f t="shared" ref="L134:M134" si="112">L135+L136+L137+L138</f>
        <v>3400</v>
      </c>
      <c r="M134" s="13">
        <f t="shared" si="112"/>
        <v>3600</v>
      </c>
      <c r="N134" s="13" t="s">
        <v>38</v>
      </c>
    </row>
    <row r="135" spans="1:18" x14ac:dyDescent="0.25">
      <c r="A135" s="47">
        <v>118</v>
      </c>
      <c r="B135" s="13" t="s">
        <v>16</v>
      </c>
      <c r="C135" s="13">
        <f t="shared" si="106"/>
        <v>29125.29</v>
      </c>
      <c r="D135" s="13">
        <v>1575</v>
      </c>
      <c r="E135" s="13">
        <f>1675+240</f>
        <v>1915</v>
      </c>
      <c r="F135" s="13">
        <f>1915+1075</f>
        <v>2990</v>
      </c>
      <c r="G135" s="13">
        <v>3254.7</v>
      </c>
      <c r="H135" s="13">
        <f>3269.8+447.8</f>
        <v>3717.6000000000004</v>
      </c>
      <c r="I135" s="13">
        <f>5159.7-1948.11-3116.35-52.52</f>
        <v>42.720000000000233</v>
      </c>
      <c r="J135" s="13">
        <f>4378.12-724.14</f>
        <v>3653.98</v>
      </c>
      <c r="K135" s="13">
        <f>5144.13-167.84</f>
        <v>4976.29</v>
      </c>
      <c r="L135" s="13">
        <v>3400</v>
      </c>
      <c r="M135" s="13">
        <v>3600</v>
      </c>
      <c r="N135" s="13"/>
    </row>
    <row r="136" spans="1:18" x14ac:dyDescent="0.25">
      <c r="A136" s="47">
        <v>119</v>
      </c>
      <c r="B136" s="13" t="s">
        <v>2</v>
      </c>
      <c r="C136" s="13">
        <f t="shared" si="106"/>
        <v>0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 t="s">
        <v>1</v>
      </c>
    </row>
    <row r="137" spans="1:18" x14ac:dyDescent="0.25">
      <c r="A137" s="47">
        <v>120</v>
      </c>
      <c r="B137" s="13" t="s">
        <v>15</v>
      </c>
      <c r="C137" s="13">
        <f t="shared" si="106"/>
        <v>0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 t="s">
        <v>1</v>
      </c>
    </row>
    <row r="138" spans="1:18" x14ac:dyDescent="0.25">
      <c r="A138" s="47">
        <v>121</v>
      </c>
      <c r="B138" s="13" t="s">
        <v>5</v>
      </c>
      <c r="C138" s="13">
        <f t="shared" si="106"/>
        <v>0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8" ht="50.25" customHeight="1" x14ac:dyDescent="0.25">
      <c r="A139" s="47">
        <v>122</v>
      </c>
      <c r="B139" s="13" t="s">
        <v>55</v>
      </c>
      <c r="C139" s="13">
        <f t="shared" si="106"/>
        <v>27635.699999999997</v>
      </c>
      <c r="D139" s="13">
        <f>D141+D142</f>
        <v>2984.5</v>
      </c>
      <c r="E139" s="13">
        <f t="shared" ref="E139:H139" si="113">E141+E142</f>
        <v>2984.5</v>
      </c>
      <c r="F139" s="13">
        <f t="shared" si="113"/>
        <v>2674</v>
      </c>
      <c r="G139" s="13">
        <f t="shared" si="113"/>
        <v>2762.7</v>
      </c>
      <c r="H139" s="13">
        <f t="shared" si="113"/>
        <v>2886.4</v>
      </c>
      <c r="I139" s="13">
        <f>I141+I142</f>
        <v>0</v>
      </c>
      <c r="J139" s="13">
        <f t="shared" ref="J139:M139" si="114">J141+J142</f>
        <v>2723</v>
      </c>
      <c r="K139" s="13">
        <f t="shared" si="114"/>
        <v>3498.1</v>
      </c>
      <c r="L139" s="13">
        <f t="shared" si="114"/>
        <v>3491.4</v>
      </c>
      <c r="M139" s="13">
        <f t="shared" si="114"/>
        <v>3631.1</v>
      </c>
      <c r="N139" s="13" t="s">
        <v>38</v>
      </c>
    </row>
    <row r="140" spans="1:18" ht="18" customHeight="1" x14ac:dyDescent="0.25">
      <c r="A140" s="47">
        <v>123</v>
      </c>
      <c r="B140" s="13" t="s">
        <v>16</v>
      </c>
      <c r="C140" s="13">
        <f t="shared" si="106"/>
        <v>0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8" x14ac:dyDescent="0.25">
      <c r="A141" s="47">
        <v>124</v>
      </c>
      <c r="B141" s="13" t="s">
        <v>2</v>
      </c>
      <c r="C141" s="13">
        <f t="shared" si="106"/>
        <v>0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 t="s">
        <v>1</v>
      </c>
    </row>
    <row r="142" spans="1:18" x14ac:dyDescent="0.25">
      <c r="A142" s="47">
        <v>125</v>
      </c>
      <c r="B142" s="13" t="s">
        <v>15</v>
      </c>
      <c r="C142" s="13">
        <f t="shared" si="106"/>
        <v>27635.699999999997</v>
      </c>
      <c r="D142" s="13">
        <v>2984.5</v>
      </c>
      <c r="E142" s="13">
        <v>2984.5</v>
      </c>
      <c r="F142" s="13">
        <v>2674</v>
      </c>
      <c r="G142" s="13">
        <v>2762.7</v>
      </c>
      <c r="H142" s="13">
        <v>2886.4</v>
      </c>
      <c r="I142" s="13">
        <f>3197.2-3197.2</f>
        <v>0</v>
      </c>
      <c r="J142" s="13">
        <f>3264.8-541.8</f>
        <v>2723</v>
      </c>
      <c r="K142" s="13">
        <f>3393.1+105</f>
        <v>3498.1</v>
      </c>
      <c r="L142" s="13">
        <v>3491.4</v>
      </c>
      <c r="M142" s="13">
        <v>3631.1</v>
      </c>
      <c r="N142" s="13" t="s">
        <v>1</v>
      </c>
    </row>
    <row r="143" spans="1:18" ht="17.25" customHeight="1" x14ac:dyDescent="0.25">
      <c r="A143" s="47">
        <v>126</v>
      </c>
      <c r="B143" s="13" t="s">
        <v>5</v>
      </c>
      <c r="C143" s="13">
        <f t="shared" si="106"/>
        <v>0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8" ht="21.75" customHeight="1" x14ac:dyDescent="0.25">
      <c r="A144" s="42">
        <v>127</v>
      </c>
      <c r="B144" s="68" t="s">
        <v>18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70"/>
    </row>
    <row r="145" spans="1:14" ht="32.25" customHeight="1" x14ac:dyDescent="0.25">
      <c r="A145" s="42">
        <v>128</v>
      </c>
      <c r="B145" s="11" t="s">
        <v>29</v>
      </c>
      <c r="C145" s="11">
        <f>SUM(D145:M145)</f>
        <v>57397.610000000008</v>
      </c>
      <c r="D145" s="11">
        <f>D150</f>
        <v>1916.4</v>
      </c>
      <c r="E145" s="11">
        <f t="shared" ref="E145:L149" si="115">E150</f>
        <v>3009.5</v>
      </c>
      <c r="F145" s="11">
        <f t="shared" si="115"/>
        <v>3955.6000000000004</v>
      </c>
      <c r="G145" s="11">
        <f t="shared" si="115"/>
        <v>18708.7</v>
      </c>
      <c r="H145" s="11">
        <f t="shared" si="115"/>
        <v>6033.3400000000011</v>
      </c>
      <c r="I145" s="11">
        <f t="shared" si="115"/>
        <v>4830.12</v>
      </c>
      <c r="J145" s="11">
        <f t="shared" si="115"/>
        <v>2963.66</v>
      </c>
      <c r="K145" s="11">
        <f t="shared" si="115"/>
        <v>15980.29</v>
      </c>
      <c r="L145" s="11">
        <f t="shared" si="115"/>
        <v>0</v>
      </c>
      <c r="M145" s="11">
        <f t="shared" ref="M145" si="116">M150</f>
        <v>0</v>
      </c>
      <c r="N145" s="28"/>
    </row>
    <row r="146" spans="1:14" ht="18.75" customHeight="1" x14ac:dyDescent="0.25">
      <c r="A146" s="42">
        <v>129</v>
      </c>
      <c r="B146" s="13" t="s">
        <v>4</v>
      </c>
      <c r="C146" s="13">
        <f>SUM(D146:M146)</f>
        <v>43705.210000000006</v>
      </c>
      <c r="D146" s="13">
        <f>D151</f>
        <v>1727</v>
      </c>
      <c r="E146" s="13">
        <f t="shared" si="115"/>
        <v>3009.5</v>
      </c>
      <c r="F146" s="13">
        <f t="shared" si="115"/>
        <v>3652.6000000000004</v>
      </c>
      <c r="G146" s="13">
        <f t="shared" si="115"/>
        <v>5508.7000000000007</v>
      </c>
      <c r="H146" s="13">
        <f t="shared" si="115"/>
        <v>6033.3400000000011</v>
      </c>
      <c r="I146" s="13">
        <f t="shared" si="115"/>
        <v>4830.12</v>
      </c>
      <c r="J146" s="13">
        <f t="shared" si="115"/>
        <v>2963.66</v>
      </c>
      <c r="K146" s="13">
        <f t="shared" si="115"/>
        <v>15980.29</v>
      </c>
      <c r="L146" s="13">
        <f t="shared" si="115"/>
        <v>0</v>
      </c>
      <c r="M146" s="13">
        <f t="shared" ref="M146" si="117">M151</f>
        <v>0</v>
      </c>
      <c r="N146" s="13" t="s">
        <v>1</v>
      </c>
    </row>
    <row r="147" spans="1:14" ht="19.5" customHeight="1" x14ac:dyDescent="0.25">
      <c r="A147" s="42">
        <v>130</v>
      </c>
      <c r="B147" s="13" t="s">
        <v>2</v>
      </c>
      <c r="C147" s="13">
        <f>SUM(D147:I147)</f>
        <v>0</v>
      </c>
      <c r="D147" s="13">
        <f t="shared" ref="D147:I149" si="118">D152</f>
        <v>0</v>
      </c>
      <c r="E147" s="13">
        <f t="shared" si="118"/>
        <v>0</v>
      </c>
      <c r="F147" s="13">
        <f t="shared" si="118"/>
        <v>0</v>
      </c>
      <c r="G147" s="13">
        <f t="shared" si="118"/>
        <v>0</v>
      </c>
      <c r="H147" s="13">
        <f t="shared" si="118"/>
        <v>0</v>
      </c>
      <c r="I147" s="13">
        <f t="shared" si="118"/>
        <v>0</v>
      </c>
      <c r="J147" s="13">
        <f t="shared" si="115"/>
        <v>0</v>
      </c>
      <c r="K147" s="13">
        <f t="shared" si="115"/>
        <v>0</v>
      </c>
      <c r="L147" s="13">
        <f t="shared" si="115"/>
        <v>0</v>
      </c>
      <c r="M147" s="13">
        <f t="shared" ref="M147" si="119">M152</f>
        <v>0</v>
      </c>
      <c r="N147" s="13" t="s">
        <v>1</v>
      </c>
    </row>
    <row r="148" spans="1:14" ht="20.25" customHeight="1" x14ac:dyDescent="0.25">
      <c r="A148" s="42">
        <v>131</v>
      </c>
      <c r="B148" s="13" t="s">
        <v>3</v>
      </c>
      <c r="C148" s="13">
        <f>SUM(D148:L148)</f>
        <v>492.4</v>
      </c>
      <c r="D148" s="13">
        <f t="shared" si="118"/>
        <v>189.4</v>
      </c>
      <c r="E148" s="13">
        <f t="shared" si="118"/>
        <v>0</v>
      </c>
      <c r="F148" s="13">
        <f>F153</f>
        <v>303</v>
      </c>
      <c r="G148" s="13">
        <f t="shared" si="118"/>
        <v>0</v>
      </c>
      <c r="H148" s="13">
        <f t="shared" si="118"/>
        <v>0</v>
      </c>
      <c r="I148" s="13">
        <f t="shared" si="118"/>
        <v>0</v>
      </c>
      <c r="J148" s="13">
        <f t="shared" si="115"/>
        <v>0</v>
      </c>
      <c r="K148" s="13">
        <f t="shared" si="115"/>
        <v>0</v>
      </c>
      <c r="L148" s="13">
        <f t="shared" si="115"/>
        <v>0</v>
      </c>
      <c r="M148" s="13">
        <f t="shared" ref="M148" si="120">M153</f>
        <v>0</v>
      </c>
      <c r="N148" s="13" t="s">
        <v>1</v>
      </c>
    </row>
    <row r="149" spans="1:14" ht="19.5" customHeight="1" x14ac:dyDescent="0.25">
      <c r="A149" s="47">
        <v>132</v>
      </c>
      <c r="B149" s="13" t="s">
        <v>5</v>
      </c>
      <c r="C149" s="13">
        <f>SUM(D149:I149)</f>
        <v>13200</v>
      </c>
      <c r="D149" s="13">
        <f t="shared" si="118"/>
        <v>0</v>
      </c>
      <c r="E149" s="13">
        <f t="shared" si="118"/>
        <v>0</v>
      </c>
      <c r="F149" s="13">
        <f t="shared" si="118"/>
        <v>0</v>
      </c>
      <c r="G149" s="13">
        <f>G154</f>
        <v>13200</v>
      </c>
      <c r="H149" s="13">
        <f t="shared" si="118"/>
        <v>0</v>
      </c>
      <c r="I149" s="13">
        <f t="shared" si="118"/>
        <v>0</v>
      </c>
      <c r="J149" s="13">
        <f t="shared" si="115"/>
        <v>0</v>
      </c>
      <c r="K149" s="13">
        <f t="shared" si="115"/>
        <v>0</v>
      </c>
      <c r="L149" s="13">
        <f t="shared" si="115"/>
        <v>0</v>
      </c>
      <c r="M149" s="13">
        <f t="shared" ref="M149" si="121">M154</f>
        <v>0</v>
      </c>
      <c r="N149" s="13" t="s">
        <v>1</v>
      </c>
    </row>
    <row r="150" spans="1:14" ht="33.75" customHeight="1" x14ac:dyDescent="0.25">
      <c r="A150" s="42">
        <v>133</v>
      </c>
      <c r="B150" s="18" t="s">
        <v>48</v>
      </c>
      <c r="C150" s="11">
        <f>SUM(D150:M150)</f>
        <v>57397.610000000008</v>
      </c>
      <c r="D150" s="11">
        <f t="shared" ref="D150:L150" si="122">SUM(D151:D154)</f>
        <v>1916.4</v>
      </c>
      <c r="E150" s="11">
        <f t="shared" si="122"/>
        <v>3009.5</v>
      </c>
      <c r="F150" s="11">
        <f t="shared" si="122"/>
        <v>3955.6000000000004</v>
      </c>
      <c r="G150" s="11">
        <f>SUM(G151:G154)</f>
        <v>18708.7</v>
      </c>
      <c r="H150" s="11">
        <f t="shared" si="122"/>
        <v>6033.3400000000011</v>
      </c>
      <c r="I150" s="11">
        <f t="shared" si="122"/>
        <v>4830.12</v>
      </c>
      <c r="J150" s="11">
        <f t="shared" si="122"/>
        <v>2963.66</v>
      </c>
      <c r="K150" s="11">
        <f t="shared" si="122"/>
        <v>15980.29</v>
      </c>
      <c r="L150" s="11">
        <f t="shared" si="122"/>
        <v>0</v>
      </c>
      <c r="M150" s="11">
        <f t="shared" ref="M150" si="123">SUM(M151:M154)</f>
        <v>0</v>
      </c>
      <c r="N150" s="13" t="s">
        <v>1</v>
      </c>
    </row>
    <row r="151" spans="1:14" ht="17.25" customHeight="1" x14ac:dyDescent="0.25">
      <c r="A151" s="47">
        <v>134</v>
      </c>
      <c r="B151" s="13" t="s">
        <v>4</v>
      </c>
      <c r="C151" s="13">
        <f>SUM(D151:M151)</f>
        <v>43705.210000000006</v>
      </c>
      <c r="D151" s="13">
        <f>D156+D161+D167+D172+D177</f>
        <v>1727</v>
      </c>
      <c r="E151" s="13">
        <f t="shared" ref="E151:H151" si="124">E156+E161+E167+E172+E177</f>
        <v>3009.5</v>
      </c>
      <c r="F151" s="13">
        <f t="shared" si="124"/>
        <v>3652.6000000000004</v>
      </c>
      <c r="G151" s="13">
        <f t="shared" si="124"/>
        <v>5508.7000000000007</v>
      </c>
      <c r="H151" s="13">
        <f t="shared" si="124"/>
        <v>6033.3400000000011</v>
      </c>
      <c r="I151" s="13">
        <f>I156+I161+I167+I172+I177</f>
        <v>4830.12</v>
      </c>
      <c r="J151" s="13">
        <f t="shared" ref="J151:L151" si="125">J156+J161+J167+J172+J177</f>
        <v>2963.66</v>
      </c>
      <c r="K151" s="13">
        <f t="shared" si="125"/>
        <v>15980.29</v>
      </c>
      <c r="L151" s="13">
        <f t="shared" si="125"/>
        <v>0</v>
      </c>
      <c r="M151" s="13">
        <f t="shared" ref="M151" si="126">M156+M161+M167+M172+M177</f>
        <v>0</v>
      </c>
      <c r="N151" s="13" t="s">
        <v>1</v>
      </c>
    </row>
    <row r="152" spans="1:14" ht="16.5" customHeight="1" x14ac:dyDescent="0.25">
      <c r="A152" s="47">
        <v>135</v>
      </c>
      <c r="B152" s="13" t="s">
        <v>2</v>
      </c>
      <c r="C152" s="13">
        <f t="shared" ref="C152:C180" si="127">SUM(D152:M152)</f>
        <v>0</v>
      </c>
      <c r="D152" s="13">
        <f>D157+D163+D168+D173+D178</f>
        <v>0</v>
      </c>
      <c r="E152" s="13">
        <f t="shared" ref="E152:L154" si="128">E157+E163+E168+E173+E178</f>
        <v>0</v>
      </c>
      <c r="F152" s="13">
        <f t="shared" si="128"/>
        <v>0</v>
      </c>
      <c r="G152" s="13">
        <f t="shared" si="128"/>
        <v>0</v>
      </c>
      <c r="H152" s="13">
        <f t="shared" si="128"/>
        <v>0</v>
      </c>
      <c r="I152" s="13">
        <f t="shared" si="128"/>
        <v>0</v>
      </c>
      <c r="J152" s="13">
        <f t="shared" si="128"/>
        <v>0</v>
      </c>
      <c r="K152" s="13">
        <f t="shared" si="128"/>
        <v>0</v>
      </c>
      <c r="L152" s="13">
        <f t="shared" si="128"/>
        <v>0</v>
      </c>
      <c r="M152" s="13">
        <f t="shared" ref="M152" si="129">M157+M163+M168+M173+M178</f>
        <v>0</v>
      </c>
      <c r="N152" s="13" t="s">
        <v>1</v>
      </c>
    </row>
    <row r="153" spans="1:14" ht="18.75" customHeight="1" x14ac:dyDescent="0.25">
      <c r="A153" s="47">
        <v>136</v>
      </c>
      <c r="B153" s="13" t="s">
        <v>3</v>
      </c>
      <c r="C153" s="13">
        <f t="shared" si="127"/>
        <v>492.4</v>
      </c>
      <c r="D153" s="13">
        <f>D158+D164+D169+D174+D179</f>
        <v>189.4</v>
      </c>
      <c r="E153" s="13">
        <f t="shared" si="128"/>
        <v>0</v>
      </c>
      <c r="F153" s="13">
        <f t="shared" si="128"/>
        <v>303</v>
      </c>
      <c r="G153" s="13">
        <f t="shared" si="128"/>
        <v>0</v>
      </c>
      <c r="H153" s="13">
        <f t="shared" si="128"/>
        <v>0</v>
      </c>
      <c r="I153" s="13">
        <f t="shared" si="128"/>
        <v>0</v>
      </c>
      <c r="J153" s="13">
        <f t="shared" si="128"/>
        <v>0</v>
      </c>
      <c r="K153" s="13">
        <f t="shared" si="128"/>
        <v>0</v>
      </c>
      <c r="L153" s="13">
        <f t="shared" si="128"/>
        <v>0</v>
      </c>
      <c r="M153" s="13">
        <f t="shared" ref="M153" si="130">M158+M164+M169+M174+M179</f>
        <v>0</v>
      </c>
      <c r="N153" s="13" t="s">
        <v>1</v>
      </c>
    </row>
    <row r="154" spans="1:14" ht="19.5" customHeight="1" x14ac:dyDescent="0.25">
      <c r="A154" s="43">
        <v>137</v>
      </c>
      <c r="B154" s="13" t="s">
        <v>5</v>
      </c>
      <c r="C154" s="13">
        <f t="shared" si="127"/>
        <v>13200</v>
      </c>
      <c r="D154" s="13">
        <f>D159+D165+D170+D175+D180</f>
        <v>0</v>
      </c>
      <c r="E154" s="13">
        <f t="shared" si="128"/>
        <v>0</v>
      </c>
      <c r="F154" s="13">
        <f t="shared" si="128"/>
        <v>0</v>
      </c>
      <c r="G154" s="13">
        <f>G159+G165+G170+G175+G180</f>
        <v>13200</v>
      </c>
      <c r="H154" s="13">
        <f t="shared" si="128"/>
        <v>0</v>
      </c>
      <c r="I154" s="13">
        <f t="shared" si="128"/>
        <v>0</v>
      </c>
      <c r="J154" s="13">
        <f t="shared" si="128"/>
        <v>0</v>
      </c>
      <c r="K154" s="13">
        <f t="shared" si="128"/>
        <v>0</v>
      </c>
      <c r="L154" s="13">
        <f t="shared" si="128"/>
        <v>0</v>
      </c>
      <c r="M154" s="13">
        <f t="shared" ref="M154" si="131">M159+M165+M170+M175+M180</f>
        <v>0</v>
      </c>
      <c r="N154" s="13"/>
    </row>
    <row r="155" spans="1:14" ht="111" customHeight="1" x14ac:dyDescent="0.25">
      <c r="A155" s="44">
        <v>138</v>
      </c>
      <c r="B155" s="13" t="s">
        <v>19</v>
      </c>
      <c r="C155" s="13">
        <f t="shared" si="127"/>
        <v>20107.059999999998</v>
      </c>
      <c r="D155" s="27">
        <f t="shared" ref="D155:G155" si="132">D156+D157+D158+D159</f>
        <v>1390</v>
      </c>
      <c r="E155" s="27">
        <f t="shared" si="132"/>
        <v>1407</v>
      </c>
      <c r="F155" s="27">
        <f t="shared" si="132"/>
        <v>2884.8</v>
      </c>
      <c r="G155" s="27">
        <f t="shared" si="132"/>
        <v>4153.5</v>
      </c>
      <c r="H155" s="27">
        <f>H156+H157+H158+H159</f>
        <v>1573.47</v>
      </c>
      <c r="I155" s="27">
        <f>I156+I157+I158+I159</f>
        <v>2265.0499999999997</v>
      </c>
      <c r="J155" s="27">
        <f>J156+J157+J158+J159</f>
        <v>934.72</v>
      </c>
      <c r="K155" s="27">
        <f>K156+K157+K158+K159</f>
        <v>5498.52</v>
      </c>
      <c r="L155" s="27">
        <f t="shared" ref="L155:M155" si="133">L156+L157+L158+L159</f>
        <v>0</v>
      </c>
      <c r="M155" s="27">
        <f t="shared" si="133"/>
        <v>0</v>
      </c>
      <c r="N155" s="27" t="s">
        <v>39</v>
      </c>
    </row>
    <row r="156" spans="1:14" ht="15" customHeight="1" x14ac:dyDescent="0.25">
      <c r="A156" s="44">
        <v>139</v>
      </c>
      <c r="B156" s="13" t="s">
        <v>16</v>
      </c>
      <c r="C156" s="13">
        <f t="shared" si="127"/>
        <v>20107.059999999998</v>
      </c>
      <c r="D156" s="13">
        <v>1390</v>
      </c>
      <c r="E156" s="13">
        <f>996.7+343.8+66.5</f>
        <v>1407</v>
      </c>
      <c r="F156" s="13">
        <f>3014.8-130</f>
        <v>2884.8</v>
      </c>
      <c r="G156" s="13">
        <v>4153.5</v>
      </c>
      <c r="H156" s="13">
        <f>1794.48-221.01</f>
        <v>1573.47</v>
      </c>
      <c r="I156" s="13">
        <f>2267.99-2.94</f>
        <v>2265.0499999999997</v>
      </c>
      <c r="J156" s="13">
        <v>934.72</v>
      </c>
      <c r="K156" s="13">
        <f>5596.85-98.33</f>
        <v>5498.52</v>
      </c>
      <c r="L156" s="27"/>
      <c r="M156" s="27"/>
      <c r="N156" s="27"/>
    </row>
    <row r="157" spans="1:14" ht="18" customHeight="1" x14ac:dyDescent="0.25">
      <c r="A157" s="44">
        <v>140</v>
      </c>
      <c r="B157" s="13" t="s">
        <v>2</v>
      </c>
      <c r="C157" s="13">
        <f t="shared" si="127"/>
        <v>0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9"/>
    </row>
    <row r="158" spans="1:14" ht="20.25" customHeight="1" x14ac:dyDescent="0.25">
      <c r="A158" s="44">
        <v>141</v>
      </c>
      <c r="B158" s="13" t="s">
        <v>15</v>
      </c>
      <c r="C158" s="13">
        <f t="shared" si="127"/>
        <v>0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29"/>
    </row>
    <row r="159" spans="1:14" ht="17.25" customHeight="1" x14ac:dyDescent="0.25">
      <c r="A159" s="43">
        <v>142</v>
      </c>
      <c r="B159" s="13" t="s">
        <v>5</v>
      </c>
      <c r="C159" s="13">
        <f t="shared" si="127"/>
        <v>0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 ht="193.5" customHeight="1" x14ac:dyDescent="0.25">
      <c r="A160" s="44">
        <v>143</v>
      </c>
      <c r="B160" s="13" t="s">
        <v>41</v>
      </c>
      <c r="C160" s="13">
        <f t="shared" si="127"/>
        <v>18603.77</v>
      </c>
      <c r="D160" s="13">
        <f t="shared" ref="D160:M160" si="134">D161+D164</f>
        <v>526.4</v>
      </c>
      <c r="E160" s="13">
        <f>E161+E164</f>
        <v>1542.5</v>
      </c>
      <c r="F160" s="13">
        <f>F161+F164</f>
        <v>1070.8</v>
      </c>
      <c r="G160" s="13">
        <f>G161+G164</f>
        <v>1006.6</v>
      </c>
      <c r="H160" s="13">
        <f>H161+H164</f>
        <v>4459.8700000000008</v>
      </c>
      <c r="I160" s="13">
        <f t="shared" si="134"/>
        <v>953.82</v>
      </c>
      <c r="J160" s="13">
        <f t="shared" si="134"/>
        <v>1055.96</v>
      </c>
      <c r="K160" s="13">
        <f t="shared" si="134"/>
        <v>7987.82</v>
      </c>
      <c r="L160" s="13">
        <f t="shared" si="134"/>
        <v>0</v>
      </c>
      <c r="M160" s="13">
        <f t="shared" si="134"/>
        <v>0</v>
      </c>
      <c r="N160" s="13" t="s">
        <v>39</v>
      </c>
    </row>
    <row r="161" spans="1:14" ht="18.75" customHeight="1" x14ac:dyDescent="0.25">
      <c r="A161" s="44">
        <v>144</v>
      </c>
      <c r="B161" s="13" t="s">
        <v>40</v>
      </c>
      <c r="C161" s="13">
        <f t="shared" si="127"/>
        <v>18111.37</v>
      </c>
      <c r="D161" s="13">
        <v>337</v>
      </c>
      <c r="E161" s="13">
        <f>500+782.5+260</f>
        <v>1542.5</v>
      </c>
      <c r="F161" s="13">
        <f>665.3+86.5+16</f>
        <v>767.8</v>
      </c>
      <c r="G161" s="13">
        <f>863.6+90+53</f>
        <v>1006.6</v>
      </c>
      <c r="H161" s="13">
        <f>6347.06-1463.02-424.17</f>
        <v>4459.8700000000008</v>
      </c>
      <c r="I161" s="13">
        <v>953.82</v>
      </c>
      <c r="J161" s="13">
        <v>1055.96</v>
      </c>
      <c r="K161" s="13">
        <f>7867.82+120</f>
        <v>7987.82</v>
      </c>
      <c r="L161" s="27">
        <v>0</v>
      </c>
      <c r="M161" s="27">
        <v>0</v>
      </c>
      <c r="N161" s="30"/>
    </row>
    <row r="162" spans="1:14" ht="68.25" customHeight="1" x14ac:dyDescent="0.25">
      <c r="A162" s="44">
        <v>145</v>
      </c>
      <c r="B162" s="13" t="s">
        <v>47</v>
      </c>
      <c r="C162" s="13">
        <f t="shared" si="127"/>
        <v>309.27199999999999</v>
      </c>
      <c r="D162" s="13">
        <v>293.27199999999999</v>
      </c>
      <c r="E162" s="13"/>
      <c r="F162" s="13">
        <f>16</f>
        <v>16</v>
      </c>
      <c r="G162" s="13"/>
      <c r="H162" s="13"/>
      <c r="I162" s="13"/>
      <c r="J162" s="13"/>
      <c r="K162" s="13"/>
      <c r="L162" s="27"/>
      <c r="M162" s="27"/>
      <c r="N162" s="30"/>
    </row>
    <row r="163" spans="1:14" ht="17.25" customHeight="1" x14ac:dyDescent="0.25">
      <c r="A163" s="44">
        <v>146</v>
      </c>
      <c r="B163" s="13" t="s">
        <v>2</v>
      </c>
      <c r="C163" s="13">
        <f t="shared" si="127"/>
        <v>0</v>
      </c>
      <c r="D163" s="13"/>
      <c r="E163" s="13"/>
      <c r="F163" s="13"/>
      <c r="G163" s="13"/>
      <c r="H163" s="13"/>
      <c r="I163" s="13"/>
      <c r="J163" s="13"/>
      <c r="K163" s="13"/>
      <c r="L163" s="27"/>
      <c r="M163" s="27"/>
      <c r="N163" s="30"/>
    </row>
    <row r="164" spans="1:14" ht="17.25" customHeight="1" x14ac:dyDescent="0.25">
      <c r="A164" s="44">
        <v>147</v>
      </c>
      <c r="B164" s="13" t="s">
        <v>15</v>
      </c>
      <c r="C164" s="13">
        <f t="shared" si="127"/>
        <v>492.4</v>
      </c>
      <c r="D164" s="13">
        <v>189.4</v>
      </c>
      <c r="E164" s="13"/>
      <c r="F164" s="13">
        <f>303</f>
        <v>303</v>
      </c>
      <c r="G164" s="13"/>
      <c r="H164" s="13"/>
      <c r="I164" s="13"/>
      <c r="J164" s="13"/>
      <c r="K164" s="13"/>
      <c r="L164" s="27"/>
      <c r="M164" s="27"/>
      <c r="N164" s="30"/>
    </row>
    <row r="165" spans="1:14" ht="17.25" customHeight="1" x14ac:dyDescent="0.25">
      <c r="A165" s="43">
        <v>148</v>
      </c>
      <c r="B165" s="13" t="s">
        <v>5</v>
      </c>
      <c r="C165" s="13">
        <f t="shared" si="127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84.75" customHeight="1" x14ac:dyDescent="0.25">
      <c r="A166" s="44">
        <v>149</v>
      </c>
      <c r="B166" s="13" t="s">
        <v>20</v>
      </c>
      <c r="C166" s="13">
        <f t="shared" si="127"/>
        <v>5486.7800000000007</v>
      </c>
      <c r="D166" s="13">
        <f>D167+D168+D169</f>
        <v>0</v>
      </c>
      <c r="E166" s="13">
        <f>E167+E168+E169</f>
        <v>60</v>
      </c>
      <c r="F166" s="13">
        <f t="shared" ref="F166:L166" si="135">F167+F168+F169</f>
        <v>0</v>
      </c>
      <c r="G166" s="13">
        <f>G167+G168+G169</f>
        <v>348.6</v>
      </c>
      <c r="H166" s="13">
        <f t="shared" si="135"/>
        <v>0</v>
      </c>
      <c r="I166" s="13">
        <f t="shared" si="135"/>
        <v>1611.25</v>
      </c>
      <c r="J166" s="13">
        <f t="shared" si="135"/>
        <v>972.98</v>
      </c>
      <c r="K166" s="13">
        <f t="shared" si="135"/>
        <v>2493.9500000000003</v>
      </c>
      <c r="L166" s="13">
        <f t="shared" si="135"/>
        <v>0</v>
      </c>
      <c r="M166" s="13">
        <f t="shared" ref="M166" si="136">M167+M168+M169</f>
        <v>0</v>
      </c>
      <c r="N166" s="13" t="s">
        <v>39</v>
      </c>
    </row>
    <row r="167" spans="1:14" ht="16.5" customHeight="1" x14ac:dyDescent="0.25">
      <c r="A167" s="44">
        <v>150</v>
      </c>
      <c r="B167" s="13" t="s">
        <v>16</v>
      </c>
      <c r="C167" s="13">
        <f t="shared" si="127"/>
        <v>5486.7800000000007</v>
      </c>
      <c r="D167" s="27"/>
      <c r="E167" s="27">
        <v>60</v>
      </c>
      <c r="F167" s="27">
        <f>500-255-245</f>
        <v>0</v>
      </c>
      <c r="G167" s="27">
        <v>348.6</v>
      </c>
      <c r="H167" s="27">
        <v>0</v>
      </c>
      <c r="I167" s="27">
        <v>1611.25</v>
      </c>
      <c r="J167" s="27">
        <f>1540.23-567.24-0.01</f>
        <v>972.98</v>
      </c>
      <c r="K167" s="27">
        <f>2167.07+326.88</f>
        <v>2493.9500000000003</v>
      </c>
      <c r="L167" s="27">
        <v>0</v>
      </c>
      <c r="M167" s="27">
        <v>0</v>
      </c>
      <c r="N167" s="27"/>
    </row>
    <row r="168" spans="1:14" ht="20.25" customHeight="1" x14ac:dyDescent="0.25">
      <c r="A168" s="44">
        <v>151</v>
      </c>
      <c r="B168" s="13" t="s">
        <v>2</v>
      </c>
      <c r="C168" s="13">
        <f t="shared" si="127"/>
        <v>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 t="s">
        <v>1</v>
      </c>
    </row>
    <row r="169" spans="1:14" ht="17.25" customHeight="1" x14ac:dyDescent="0.25">
      <c r="A169" s="44">
        <v>152</v>
      </c>
      <c r="B169" s="13" t="s">
        <v>15</v>
      </c>
      <c r="C169" s="13">
        <f t="shared" si="127"/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 t="s">
        <v>1</v>
      </c>
    </row>
    <row r="170" spans="1:14" ht="18" customHeight="1" x14ac:dyDescent="0.25">
      <c r="A170" s="43">
        <v>153</v>
      </c>
      <c r="B170" s="13" t="s">
        <v>5</v>
      </c>
      <c r="C170" s="13">
        <f t="shared" si="127"/>
        <v>0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79.5" customHeight="1" x14ac:dyDescent="0.25">
      <c r="A171" s="44">
        <v>154</v>
      </c>
      <c r="B171" s="13" t="s">
        <v>50</v>
      </c>
      <c r="C171" s="13">
        <f t="shared" si="127"/>
        <v>8000</v>
      </c>
      <c r="D171" s="31">
        <f>D172+D173+D174</f>
        <v>0</v>
      </c>
      <c r="E171" s="31">
        <f t="shared" ref="E171:J171" si="137">E172+E173+E174</f>
        <v>0</v>
      </c>
      <c r="F171" s="31">
        <f t="shared" si="137"/>
        <v>0</v>
      </c>
      <c r="G171" s="61">
        <f>G172+G173+G174+G175</f>
        <v>8000</v>
      </c>
      <c r="H171" s="31">
        <f t="shared" si="137"/>
        <v>0</v>
      </c>
      <c r="I171" s="31">
        <f t="shared" si="137"/>
        <v>0</v>
      </c>
      <c r="J171" s="31">
        <f t="shared" si="137"/>
        <v>0</v>
      </c>
      <c r="K171" s="31">
        <f>K172+K173+K174</f>
        <v>0</v>
      </c>
      <c r="L171" s="31">
        <f>L172+L173+L174</f>
        <v>0</v>
      </c>
      <c r="M171" s="31">
        <f>M172+M173+M174</f>
        <v>0</v>
      </c>
      <c r="N171" s="31"/>
    </row>
    <row r="172" spans="1:14" x14ac:dyDescent="0.25">
      <c r="A172" s="44">
        <v>155</v>
      </c>
      <c r="B172" s="13" t="s">
        <v>16</v>
      </c>
      <c r="C172" s="13">
        <f t="shared" si="127"/>
        <v>0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44">
        <v>156</v>
      </c>
      <c r="B173" s="13" t="s">
        <v>2</v>
      </c>
      <c r="C173" s="13">
        <f t="shared" si="127"/>
        <v>0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44">
        <v>157</v>
      </c>
      <c r="B174" s="13" t="s">
        <v>15</v>
      </c>
      <c r="C174" s="13">
        <f t="shared" si="127"/>
        <v>0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44">
        <v>158</v>
      </c>
      <c r="B175" s="13" t="s">
        <v>5</v>
      </c>
      <c r="C175" s="13">
        <f t="shared" si="127"/>
        <v>8000</v>
      </c>
      <c r="D175" s="32"/>
      <c r="E175" s="32"/>
      <c r="F175" s="32"/>
      <c r="G175" s="62">
        <v>8000</v>
      </c>
      <c r="H175" s="32"/>
      <c r="I175" s="32"/>
      <c r="J175" s="32"/>
      <c r="K175" s="32"/>
      <c r="L175" s="32"/>
      <c r="M175" s="32"/>
      <c r="N175" s="32"/>
    </row>
    <row r="176" spans="1:14" ht="132" customHeight="1" x14ac:dyDescent="0.25">
      <c r="A176" s="43">
        <v>159</v>
      </c>
      <c r="B176" s="13" t="s">
        <v>51</v>
      </c>
      <c r="C176" s="13">
        <f t="shared" si="127"/>
        <v>5200</v>
      </c>
      <c r="D176" s="31">
        <f>D177+D178+D179</f>
        <v>0</v>
      </c>
      <c r="E176" s="31">
        <f t="shared" ref="E176:L176" si="138">E177+E178+E179</f>
        <v>0</v>
      </c>
      <c r="F176" s="31">
        <f t="shared" si="138"/>
        <v>0</v>
      </c>
      <c r="G176" s="61">
        <f>G177+G178+G179+G180</f>
        <v>5200</v>
      </c>
      <c r="H176" s="31">
        <f t="shared" si="138"/>
        <v>0</v>
      </c>
      <c r="I176" s="31">
        <f t="shared" si="138"/>
        <v>0</v>
      </c>
      <c r="J176" s="31">
        <f t="shared" si="138"/>
        <v>0</v>
      </c>
      <c r="K176" s="31">
        <f t="shared" si="138"/>
        <v>0</v>
      </c>
      <c r="L176" s="31">
        <f t="shared" si="138"/>
        <v>0</v>
      </c>
      <c r="M176" s="31">
        <f t="shared" ref="M176" si="139">M177+M178+M179</f>
        <v>0</v>
      </c>
      <c r="N176" s="31"/>
    </row>
    <row r="177" spans="1:14" x14ac:dyDescent="0.25">
      <c r="A177" s="44">
        <v>160</v>
      </c>
      <c r="B177" s="13" t="s">
        <v>16</v>
      </c>
      <c r="C177" s="13">
        <f t="shared" si="127"/>
        <v>0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44">
        <v>161</v>
      </c>
      <c r="B178" s="13" t="s">
        <v>2</v>
      </c>
      <c r="C178" s="13">
        <f t="shared" si="127"/>
        <v>0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44">
        <v>162</v>
      </c>
      <c r="B179" s="13" t="s">
        <v>15</v>
      </c>
      <c r="C179" s="13">
        <f t="shared" si="127"/>
        <v>0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44">
        <v>163</v>
      </c>
      <c r="B180" s="27" t="s">
        <v>5</v>
      </c>
      <c r="C180" s="13">
        <f t="shared" si="127"/>
        <v>5200</v>
      </c>
      <c r="D180" s="32"/>
      <c r="E180" s="32"/>
      <c r="F180" s="32"/>
      <c r="G180" s="62">
        <v>5200</v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51">
        <v>164</v>
      </c>
      <c r="B181" s="68" t="s">
        <v>62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70"/>
    </row>
    <row r="182" spans="1:14" ht="30" x14ac:dyDescent="0.25">
      <c r="A182" s="51">
        <v>165</v>
      </c>
      <c r="B182" s="11" t="s">
        <v>74</v>
      </c>
      <c r="C182" s="11">
        <f>SUM(D182:M182)</f>
        <v>31582.55</v>
      </c>
      <c r="D182" s="11">
        <f>D187</f>
        <v>0</v>
      </c>
      <c r="E182" s="11">
        <f t="shared" ref="E182:L186" si="140">E187</f>
        <v>0</v>
      </c>
      <c r="F182" s="11">
        <f t="shared" si="140"/>
        <v>0</v>
      </c>
      <c r="G182" s="11">
        <f t="shared" si="140"/>
        <v>0</v>
      </c>
      <c r="H182" s="11">
        <f t="shared" si="140"/>
        <v>0</v>
      </c>
      <c r="I182" s="11">
        <f t="shared" si="140"/>
        <v>0</v>
      </c>
      <c r="J182" s="11">
        <f>J187</f>
        <v>7170.54</v>
      </c>
      <c r="K182" s="11">
        <f t="shared" si="140"/>
        <v>8543.4500000000007</v>
      </c>
      <c r="L182" s="11">
        <f t="shared" si="140"/>
        <v>7544.28</v>
      </c>
      <c r="M182" s="11">
        <f t="shared" ref="M182" si="141">M187</f>
        <v>8324.2799999999988</v>
      </c>
      <c r="N182" s="28"/>
    </row>
    <row r="183" spans="1:14" x14ac:dyDescent="0.25">
      <c r="A183" s="51">
        <v>166</v>
      </c>
      <c r="B183" s="13" t="s">
        <v>4</v>
      </c>
      <c r="C183" s="13">
        <f>SUM(D183:M183)</f>
        <v>31327.05</v>
      </c>
      <c r="D183" s="13">
        <f>D188</f>
        <v>0</v>
      </c>
      <c r="E183" s="13">
        <f t="shared" si="140"/>
        <v>0</v>
      </c>
      <c r="F183" s="13">
        <f t="shared" si="140"/>
        <v>0</v>
      </c>
      <c r="G183" s="13">
        <f t="shared" si="140"/>
        <v>0</v>
      </c>
      <c r="H183" s="13">
        <f t="shared" si="140"/>
        <v>0</v>
      </c>
      <c r="I183" s="13">
        <f t="shared" si="140"/>
        <v>0</v>
      </c>
      <c r="J183" s="13">
        <f t="shared" si="140"/>
        <v>7090.74</v>
      </c>
      <c r="K183" s="13">
        <f t="shared" si="140"/>
        <v>8367.75</v>
      </c>
      <c r="L183" s="13">
        <f t="shared" si="140"/>
        <v>7544.28</v>
      </c>
      <c r="M183" s="13">
        <f t="shared" ref="M183" si="142">M188</f>
        <v>8324.2799999999988</v>
      </c>
      <c r="N183" s="13" t="s">
        <v>1</v>
      </c>
    </row>
    <row r="184" spans="1:14" x14ac:dyDescent="0.25">
      <c r="A184" s="51">
        <v>167</v>
      </c>
      <c r="B184" s="13" t="s">
        <v>2</v>
      </c>
      <c r="C184" s="13">
        <f t="shared" ref="C184:C186" si="143">SUM(D184:M184)</f>
        <v>0</v>
      </c>
      <c r="D184" s="13">
        <f t="shared" ref="D184:K186" si="144">D189</f>
        <v>0</v>
      </c>
      <c r="E184" s="13">
        <f t="shared" si="144"/>
        <v>0</v>
      </c>
      <c r="F184" s="13">
        <f t="shared" si="144"/>
        <v>0</v>
      </c>
      <c r="G184" s="13">
        <f t="shared" si="144"/>
        <v>0</v>
      </c>
      <c r="H184" s="13">
        <f t="shared" si="144"/>
        <v>0</v>
      </c>
      <c r="I184" s="13">
        <f t="shared" si="144"/>
        <v>0</v>
      </c>
      <c r="J184" s="13">
        <f t="shared" si="144"/>
        <v>0</v>
      </c>
      <c r="K184" s="13">
        <f t="shared" si="144"/>
        <v>0</v>
      </c>
      <c r="L184" s="13">
        <f t="shared" si="140"/>
        <v>0</v>
      </c>
      <c r="M184" s="13">
        <f t="shared" ref="M184" si="145">M189</f>
        <v>0</v>
      </c>
      <c r="N184" s="13" t="s">
        <v>1</v>
      </c>
    </row>
    <row r="185" spans="1:14" x14ac:dyDescent="0.25">
      <c r="A185" s="51">
        <v>168</v>
      </c>
      <c r="B185" s="13" t="s">
        <v>3</v>
      </c>
      <c r="C185" s="13">
        <f t="shared" si="143"/>
        <v>255.5</v>
      </c>
      <c r="D185" s="13">
        <f t="shared" si="144"/>
        <v>0</v>
      </c>
      <c r="E185" s="13">
        <f t="shared" si="144"/>
        <v>0</v>
      </c>
      <c r="F185" s="13">
        <f>F190</f>
        <v>0</v>
      </c>
      <c r="G185" s="13">
        <f t="shared" si="144"/>
        <v>0</v>
      </c>
      <c r="H185" s="13">
        <f t="shared" si="144"/>
        <v>0</v>
      </c>
      <c r="I185" s="13">
        <f t="shared" si="144"/>
        <v>0</v>
      </c>
      <c r="J185" s="13">
        <f t="shared" si="144"/>
        <v>79.8</v>
      </c>
      <c r="K185" s="13">
        <f t="shared" si="144"/>
        <v>175.70000000000002</v>
      </c>
      <c r="L185" s="13">
        <f t="shared" si="140"/>
        <v>0</v>
      </c>
      <c r="M185" s="13">
        <f t="shared" ref="M185" si="146">M190</f>
        <v>0</v>
      </c>
      <c r="N185" s="13" t="s">
        <v>1</v>
      </c>
    </row>
    <row r="186" spans="1:14" x14ac:dyDescent="0.25">
      <c r="A186" s="51">
        <v>169</v>
      </c>
      <c r="B186" s="13" t="s">
        <v>5</v>
      </c>
      <c r="C186" s="13">
        <f t="shared" si="143"/>
        <v>0</v>
      </c>
      <c r="D186" s="13">
        <f t="shared" si="144"/>
        <v>0</v>
      </c>
      <c r="E186" s="13">
        <f t="shared" si="144"/>
        <v>0</v>
      </c>
      <c r="F186" s="13">
        <f t="shared" si="144"/>
        <v>0</v>
      </c>
      <c r="G186" s="13">
        <f>G191</f>
        <v>0</v>
      </c>
      <c r="H186" s="13">
        <f t="shared" si="144"/>
        <v>0</v>
      </c>
      <c r="I186" s="13">
        <f t="shared" si="144"/>
        <v>0</v>
      </c>
      <c r="J186" s="13">
        <f t="shared" si="144"/>
        <v>0</v>
      </c>
      <c r="K186" s="13">
        <f t="shared" si="144"/>
        <v>0</v>
      </c>
      <c r="L186" s="13">
        <f t="shared" si="140"/>
        <v>0</v>
      </c>
      <c r="M186" s="13">
        <f t="shared" ref="M186" si="147">M191</f>
        <v>0</v>
      </c>
      <c r="N186" s="13" t="s">
        <v>1</v>
      </c>
    </row>
    <row r="187" spans="1:14" ht="30" x14ac:dyDescent="0.25">
      <c r="A187" s="51">
        <v>170</v>
      </c>
      <c r="B187" s="18" t="s">
        <v>48</v>
      </c>
      <c r="C187" s="11">
        <f>SUM(D187:M187)</f>
        <v>31582.55</v>
      </c>
      <c r="D187" s="11">
        <f t="shared" ref="D187:F187" si="148">SUM(D188:D191)</f>
        <v>0</v>
      </c>
      <c r="E187" s="11">
        <f t="shared" si="148"/>
        <v>0</v>
      </c>
      <c r="F187" s="11">
        <f t="shared" si="148"/>
        <v>0</v>
      </c>
      <c r="G187" s="11">
        <f>SUM(G188:G191)</f>
        <v>0</v>
      </c>
      <c r="H187" s="11">
        <f t="shared" ref="H187:L187" si="149">SUM(H188:H191)</f>
        <v>0</v>
      </c>
      <c r="I187" s="11">
        <f t="shared" si="149"/>
        <v>0</v>
      </c>
      <c r="J187" s="11">
        <f>SUM(J188:J191)</f>
        <v>7170.54</v>
      </c>
      <c r="K187" s="11">
        <f t="shared" si="149"/>
        <v>8543.4500000000007</v>
      </c>
      <c r="L187" s="11">
        <f t="shared" si="149"/>
        <v>7544.28</v>
      </c>
      <c r="M187" s="11">
        <f t="shared" ref="M187" si="150">SUM(M188:M191)</f>
        <v>8324.2799999999988</v>
      </c>
      <c r="N187" s="13" t="s">
        <v>1</v>
      </c>
    </row>
    <row r="188" spans="1:14" x14ac:dyDescent="0.25">
      <c r="A188" s="51">
        <v>171</v>
      </c>
      <c r="B188" s="13" t="s">
        <v>4</v>
      </c>
      <c r="C188" s="13">
        <f>SUM(D188:M188)</f>
        <v>31327.05</v>
      </c>
      <c r="D188" s="13">
        <f>D193+D198+D204+D209+D214</f>
        <v>0</v>
      </c>
      <c r="E188" s="13">
        <f t="shared" ref="E188:H188" si="151">E193+E198+E204+E209+E214</f>
        <v>0</v>
      </c>
      <c r="F188" s="13">
        <f t="shared" si="151"/>
        <v>0</v>
      </c>
      <c r="G188" s="13">
        <f>G193+G198+G204+G209+G214</f>
        <v>0</v>
      </c>
      <c r="H188" s="13">
        <f t="shared" si="151"/>
        <v>0</v>
      </c>
      <c r="I188" s="13">
        <f>I193+I198+I204+I209+I214</f>
        <v>0</v>
      </c>
      <c r="J188" s="13">
        <f>J193+J198+J204+J209+J214</f>
        <v>7090.74</v>
      </c>
      <c r="K188" s="13">
        <f>K193+K198+K204+K209+K214+K219+K224+K229</f>
        <v>8367.75</v>
      </c>
      <c r="L188" s="13">
        <f t="shared" ref="L188:M188" si="152">L193+L198+L204+L209+L214+L219</f>
        <v>7544.28</v>
      </c>
      <c r="M188" s="13">
        <f t="shared" si="152"/>
        <v>8324.2799999999988</v>
      </c>
      <c r="N188" s="13" t="s">
        <v>1</v>
      </c>
    </row>
    <row r="189" spans="1:14" x14ac:dyDescent="0.25">
      <c r="A189" s="51">
        <v>172</v>
      </c>
      <c r="B189" s="13" t="s">
        <v>2</v>
      </c>
      <c r="C189" s="13">
        <f t="shared" ref="C189:C217" si="153">SUM(D189:M189)</f>
        <v>0</v>
      </c>
      <c r="D189" s="13">
        <f>D194+D200+D205+D210+D215</f>
        <v>0</v>
      </c>
      <c r="E189" s="13">
        <f t="shared" ref="E189:L191" si="154">E194+E200+E205+E210+E215</f>
        <v>0</v>
      </c>
      <c r="F189" s="13">
        <f t="shared" si="154"/>
        <v>0</v>
      </c>
      <c r="G189" s="13">
        <f t="shared" si="154"/>
        <v>0</v>
      </c>
      <c r="H189" s="13">
        <f t="shared" si="154"/>
        <v>0</v>
      </c>
      <c r="I189" s="13">
        <f t="shared" si="154"/>
        <v>0</v>
      </c>
      <c r="J189" s="13">
        <f t="shared" si="154"/>
        <v>0</v>
      </c>
      <c r="K189" s="13">
        <f t="shared" si="154"/>
        <v>0</v>
      </c>
      <c r="L189" s="13">
        <f t="shared" si="154"/>
        <v>0</v>
      </c>
      <c r="M189" s="13">
        <f t="shared" ref="M189" si="155">M194+M200+M205+M210+M215</f>
        <v>0</v>
      </c>
      <c r="N189" s="13" t="s">
        <v>1</v>
      </c>
    </row>
    <row r="190" spans="1:14" x14ac:dyDescent="0.25">
      <c r="A190" s="51">
        <v>173</v>
      </c>
      <c r="B190" s="13" t="s">
        <v>3</v>
      </c>
      <c r="C190" s="13">
        <f t="shared" si="153"/>
        <v>255.5</v>
      </c>
      <c r="D190" s="13">
        <f>D195+D201+D206+D211+D216</f>
        <v>0</v>
      </c>
      <c r="E190" s="13">
        <f t="shared" si="154"/>
        <v>0</v>
      </c>
      <c r="F190" s="13">
        <f t="shared" si="154"/>
        <v>0</v>
      </c>
      <c r="G190" s="13">
        <f t="shared" si="154"/>
        <v>0</v>
      </c>
      <c r="H190" s="13">
        <f t="shared" si="154"/>
        <v>0</v>
      </c>
      <c r="I190" s="13">
        <f t="shared" si="154"/>
        <v>0</v>
      </c>
      <c r="J190" s="13">
        <f t="shared" si="154"/>
        <v>79.8</v>
      </c>
      <c r="K190" s="13">
        <f>K195+K201+K206+K211+K216+K226+K231</f>
        <v>175.70000000000002</v>
      </c>
      <c r="L190" s="13">
        <f t="shared" si="154"/>
        <v>0</v>
      </c>
      <c r="M190" s="13">
        <f t="shared" ref="M190" si="156">M195+M201+M206+M211+M216</f>
        <v>0</v>
      </c>
      <c r="N190" s="13" t="s">
        <v>1</v>
      </c>
    </row>
    <row r="191" spans="1:14" x14ac:dyDescent="0.25">
      <c r="A191" s="51">
        <v>174</v>
      </c>
      <c r="B191" s="13" t="s">
        <v>5</v>
      </c>
      <c r="C191" s="13">
        <f t="shared" si="153"/>
        <v>0</v>
      </c>
      <c r="D191" s="13">
        <f>D196+D202+D207+D212+D217</f>
        <v>0</v>
      </c>
      <c r="E191" s="13">
        <f t="shared" si="154"/>
        <v>0</v>
      </c>
      <c r="F191" s="13">
        <f t="shared" si="154"/>
        <v>0</v>
      </c>
      <c r="G191" s="13">
        <f>G196+G202+G207+G212+G217</f>
        <v>0</v>
      </c>
      <c r="H191" s="13">
        <f t="shared" si="154"/>
        <v>0</v>
      </c>
      <c r="I191" s="13">
        <f t="shared" si="154"/>
        <v>0</v>
      </c>
      <c r="J191" s="13">
        <f t="shared" si="154"/>
        <v>0</v>
      </c>
      <c r="K191" s="13">
        <f t="shared" si="154"/>
        <v>0</v>
      </c>
      <c r="L191" s="13">
        <f t="shared" si="154"/>
        <v>0</v>
      </c>
      <c r="M191" s="13">
        <f t="shared" ref="M191" si="157">M196+M202+M207+M212+M217</f>
        <v>0</v>
      </c>
      <c r="N191" s="13"/>
    </row>
    <row r="192" spans="1:14" ht="75" x14ac:dyDescent="0.25">
      <c r="A192" s="51">
        <v>17</v>
      </c>
      <c r="B192" s="13" t="s">
        <v>63</v>
      </c>
      <c r="C192" s="13">
        <f t="shared" si="153"/>
        <v>28292.03</v>
      </c>
      <c r="D192" s="27">
        <f t="shared" ref="D192:G192" si="158">D193+D194+D195+D196</f>
        <v>0</v>
      </c>
      <c r="E192" s="27">
        <f t="shared" si="158"/>
        <v>0</v>
      </c>
      <c r="F192" s="27">
        <f t="shared" si="158"/>
        <v>0</v>
      </c>
      <c r="G192" s="27">
        <f t="shared" si="158"/>
        <v>0</v>
      </c>
      <c r="H192" s="27">
        <f>H193+H194+H195+H196</f>
        <v>0</v>
      </c>
      <c r="I192" s="27">
        <f>I193+I194+I195+I196</f>
        <v>0</v>
      </c>
      <c r="J192" s="27">
        <f>J193+J194+J195+J196</f>
        <v>6695.58</v>
      </c>
      <c r="K192" s="27">
        <f>K193+K194+K195+K196</f>
        <v>7176.4500000000007</v>
      </c>
      <c r="L192" s="27">
        <f t="shared" ref="L192:M192" si="159">L193+L194+L195+L196</f>
        <v>6820</v>
      </c>
      <c r="M192" s="27">
        <f t="shared" si="159"/>
        <v>7600</v>
      </c>
      <c r="N192" s="27" t="s">
        <v>39</v>
      </c>
    </row>
    <row r="193" spans="1:14" x14ac:dyDescent="0.25">
      <c r="A193" s="51">
        <v>5176</v>
      </c>
      <c r="B193" s="13" t="s">
        <v>16</v>
      </c>
      <c r="C193" s="13">
        <f t="shared" si="153"/>
        <v>28292.03</v>
      </c>
      <c r="D193" s="13"/>
      <c r="E193" s="13"/>
      <c r="F193" s="13"/>
      <c r="G193" s="13"/>
      <c r="H193" s="13"/>
      <c r="I193" s="13"/>
      <c r="J193" s="13">
        <f>6953.6-258.02</f>
        <v>6695.58</v>
      </c>
      <c r="K193" s="13">
        <f>7181.39-4.94</f>
        <v>7176.4500000000007</v>
      </c>
      <c r="L193" s="27">
        <v>6820</v>
      </c>
      <c r="M193" s="27">
        <v>7600</v>
      </c>
      <c r="N193" s="27"/>
    </row>
    <row r="194" spans="1:14" x14ac:dyDescent="0.25">
      <c r="A194" s="51">
        <v>177</v>
      </c>
      <c r="B194" s="13" t="s">
        <v>2</v>
      </c>
      <c r="C194" s="13">
        <f t="shared" si="153"/>
        <v>0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29"/>
    </row>
    <row r="195" spans="1:14" x14ac:dyDescent="0.25">
      <c r="A195" s="51">
        <v>178</v>
      </c>
      <c r="B195" s="13" t="s">
        <v>15</v>
      </c>
      <c r="C195" s="13">
        <f t="shared" si="153"/>
        <v>0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29"/>
    </row>
    <row r="196" spans="1:14" x14ac:dyDescent="0.25">
      <c r="A196" s="51">
        <v>179</v>
      </c>
      <c r="B196" s="13" t="s">
        <v>5</v>
      </c>
      <c r="C196" s="13">
        <f t="shared" si="153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ht="30" x14ac:dyDescent="0.25">
      <c r="A197" s="51">
        <v>180</v>
      </c>
      <c r="B197" s="13" t="s">
        <v>64</v>
      </c>
      <c r="C197" s="13">
        <f t="shared" si="153"/>
        <v>1727.74</v>
      </c>
      <c r="D197" s="13"/>
      <c r="E197" s="13"/>
      <c r="F197" s="13"/>
      <c r="G197" s="13"/>
      <c r="H197" s="13"/>
      <c r="I197" s="13"/>
      <c r="J197" s="13">
        <f>J198+J201</f>
        <v>215.36</v>
      </c>
      <c r="K197" s="13">
        <f>K198+K201</f>
        <v>543.81999999999994</v>
      </c>
      <c r="L197" s="13">
        <f>L198+L201</f>
        <v>484.28</v>
      </c>
      <c r="M197" s="13">
        <f>M198+M201</f>
        <v>484.28</v>
      </c>
      <c r="N197" s="13" t="s">
        <v>39</v>
      </c>
    </row>
    <row r="198" spans="1:14" x14ac:dyDescent="0.25">
      <c r="A198" s="51">
        <v>181</v>
      </c>
      <c r="B198" s="13" t="s">
        <v>40</v>
      </c>
      <c r="C198" s="13">
        <f t="shared" si="153"/>
        <v>1727.74</v>
      </c>
      <c r="D198" s="13"/>
      <c r="E198" s="13"/>
      <c r="F198" s="13"/>
      <c r="G198" s="13"/>
      <c r="H198" s="13"/>
      <c r="I198" s="13"/>
      <c r="J198" s="13">
        <f>215.4-0.04</f>
        <v>215.36</v>
      </c>
      <c r="K198" s="13">
        <f>484.28+59.54</f>
        <v>543.81999999999994</v>
      </c>
      <c r="L198" s="27">
        <v>484.28</v>
      </c>
      <c r="M198" s="27">
        <v>484.28</v>
      </c>
      <c r="N198" s="30"/>
    </row>
    <row r="199" spans="1:14" ht="60" x14ac:dyDescent="0.25">
      <c r="A199" s="51">
        <v>182</v>
      </c>
      <c r="B199" s="13" t="s">
        <v>47</v>
      </c>
      <c r="C199" s="13">
        <f t="shared" si="153"/>
        <v>0</v>
      </c>
      <c r="D199" s="13"/>
      <c r="E199" s="13"/>
      <c r="F199" s="13"/>
      <c r="G199" s="13"/>
      <c r="H199" s="13"/>
      <c r="I199" s="13"/>
      <c r="J199" s="13"/>
      <c r="K199" s="13"/>
      <c r="L199" s="27"/>
      <c r="M199" s="27"/>
      <c r="N199" s="30"/>
    </row>
    <row r="200" spans="1:14" x14ac:dyDescent="0.25">
      <c r="A200" s="51">
        <v>183</v>
      </c>
      <c r="B200" s="13" t="s">
        <v>2</v>
      </c>
      <c r="C200" s="13">
        <f t="shared" si="153"/>
        <v>0</v>
      </c>
      <c r="D200" s="13"/>
      <c r="E200" s="13"/>
      <c r="F200" s="13"/>
      <c r="G200" s="13"/>
      <c r="H200" s="13"/>
      <c r="I200" s="13"/>
      <c r="J200" s="13"/>
      <c r="K200" s="13"/>
      <c r="L200" s="27"/>
      <c r="M200" s="27"/>
      <c r="N200" s="30"/>
    </row>
    <row r="201" spans="1:14" x14ac:dyDescent="0.25">
      <c r="A201" s="51">
        <v>184</v>
      </c>
      <c r="B201" s="13" t="s">
        <v>15</v>
      </c>
      <c r="C201" s="13">
        <f t="shared" si="153"/>
        <v>0</v>
      </c>
      <c r="D201" s="13"/>
      <c r="E201" s="13"/>
      <c r="F201" s="13"/>
      <c r="G201" s="13"/>
      <c r="H201" s="13"/>
      <c r="I201" s="13"/>
      <c r="J201" s="13"/>
      <c r="K201" s="13"/>
      <c r="L201" s="27"/>
      <c r="M201" s="27"/>
      <c r="N201" s="30"/>
    </row>
    <row r="202" spans="1:14" x14ac:dyDescent="0.25">
      <c r="A202" s="51">
        <v>185</v>
      </c>
      <c r="B202" s="13" t="s">
        <v>5</v>
      </c>
      <c r="C202" s="13">
        <f t="shared" si="153"/>
        <v>0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20" x14ac:dyDescent="0.25">
      <c r="A203" s="51">
        <v>186</v>
      </c>
      <c r="B203" s="13" t="s">
        <v>65</v>
      </c>
      <c r="C203" s="13">
        <f t="shared" si="153"/>
        <v>200</v>
      </c>
      <c r="D203" s="13">
        <f>D204+D205+D206</f>
        <v>0</v>
      </c>
      <c r="E203" s="13">
        <f t="shared" ref="E203:L203" si="160">E204+E205+E206</f>
        <v>0</v>
      </c>
      <c r="F203" s="13">
        <f t="shared" si="160"/>
        <v>0</v>
      </c>
      <c r="G203" s="13">
        <f t="shared" si="160"/>
        <v>0</v>
      </c>
      <c r="H203" s="13">
        <f t="shared" si="160"/>
        <v>0</v>
      </c>
      <c r="I203" s="13">
        <f t="shared" si="160"/>
        <v>0</v>
      </c>
      <c r="J203" s="13">
        <f t="shared" si="160"/>
        <v>50</v>
      </c>
      <c r="K203" s="13">
        <f t="shared" si="160"/>
        <v>50</v>
      </c>
      <c r="L203" s="13">
        <f t="shared" si="160"/>
        <v>50</v>
      </c>
      <c r="M203" s="13">
        <f t="shared" ref="M203" si="161">M204+M205+M206</f>
        <v>50</v>
      </c>
      <c r="N203" s="13" t="s">
        <v>39</v>
      </c>
    </row>
    <row r="204" spans="1:14" x14ac:dyDescent="0.25">
      <c r="A204" s="51">
        <v>187</v>
      </c>
      <c r="B204" s="13" t="s">
        <v>16</v>
      </c>
      <c r="C204" s="13">
        <f t="shared" si="153"/>
        <v>200</v>
      </c>
      <c r="D204" s="27"/>
      <c r="E204" s="27"/>
      <c r="F204" s="27"/>
      <c r="G204" s="27"/>
      <c r="H204" s="27"/>
      <c r="I204" s="27"/>
      <c r="J204" s="27">
        <v>50</v>
      </c>
      <c r="K204" s="27">
        <v>50</v>
      </c>
      <c r="L204" s="27">
        <v>50</v>
      </c>
      <c r="M204" s="27">
        <v>50</v>
      </c>
      <c r="N204" s="27"/>
    </row>
    <row r="205" spans="1:14" x14ac:dyDescent="0.25">
      <c r="A205" s="51">
        <v>188</v>
      </c>
      <c r="B205" s="13" t="s">
        <v>2</v>
      </c>
      <c r="C205" s="13">
        <f t="shared" si="153"/>
        <v>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 t="s">
        <v>1</v>
      </c>
    </row>
    <row r="206" spans="1:14" x14ac:dyDescent="0.25">
      <c r="A206" s="51">
        <v>189</v>
      </c>
      <c r="B206" s="13" t="s">
        <v>15</v>
      </c>
      <c r="C206" s="13">
        <f t="shared" si="153"/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 t="s">
        <v>1</v>
      </c>
    </row>
    <row r="207" spans="1:14" x14ac:dyDescent="0.25">
      <c r="A207" s="51">
        <v>190</v>
      </c>
      <c r="B207" s="13" t="s">
        <v>5</v>
      </c>
      <c r="C207" s="13">
        <f t="shared" si="153"/>
        <v>0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60" x14ac:dyDescent="0.25">
      <c r="A208" s="51">
        <v>191</v>
      </c>
      <c r="B208" s="13" t="s">
        <v>66</v>
      </c>
      <c r="C208" s="13">
        <f t="shared" si="153"/>
        <v>200</v>
      </c>
      <c r="D208" s="31">
        <f>D209+D210+D211</f>
        <v>0</v>
      </c>
      <c r="E208" s="31">
        <f t="shared" ref="E208:J208" si="162">E209+E210+E211</f>
        <v>0</v>
      </c>
      <c r="F208" s="31">
        <f t="shared" si="162"/>
        <v>0</v>
      </c>
      <c r="G208" s="31">
        <f t="shared" si="162"/>
        <v>0</v>
      </c>
      <c r="H208" s="31">
        <f t="shared" si="162"/>
        <v>0</v>
      </c>
      <c r="I208" s="31">
        <f t="shared" si="162"/>
        <v>0</v>
      </c>
      <c r="J208" s="61">
        <f t="shared" si="162"/>
        <v>50</v>
      </c>
      <c r="K208" s="61">
        <f>K209+K210+K211</f>
        <v>50</v>
      </c>
      <c r="L208" s="61">
        <f>L209+L210+L211</f>
        <v>50</v>
      </c>
      <c r="M208" s="61">
        <f>M209+M210+M211</f>
        <v>50</v>
      </c>
      <c r="N208" s="31"/>
    </row>
    <row r="209" spans="1:14" x14ac:dyDescent="0.25">
      <c r="A209" s="51">
        <v>192</v>
      </c>
      <c r="B209" s="13" t="s">
        <v>16</v>
      </c>
      <c r="C209" s="13">
        <f t="shared" si="153"/>
        <v>200</v>
      </c>
      <c r="D209" s="32"/>
      <c r="E209" s="32"/>
      <c r="F209" s="32"/>
      <c r="G209" s="32"/>
      <c r="H209" s="32"/>
      <c r="I209" s="32"/>
      <c r="J209" s="62">
        <v>50</v>
      </c>
      <c r="K209" s="62">
        <v>50</v>
      </c>
      <c r="L209" s="62">
        <v>50</v>
      </c>
      <c r="M209" s="62">
        <v>50</v>
      </c>
      <c r="N209" s="32"/>
    </row>
    <row r="210" spans="1:14" x14ac:dyDescent="0.25">
      <c r="A210" s="51">
        <v>193</v>
      </c>
      <c r="B210" s="13" t="s">
        <v>2</v>
      </c>
      <c r="C210" s="13">
        <f t="shared" si="153"/>
        <v>0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51">
        <v>194</v>
      </c>
      <c r="B211" s="13" t="s">
        <v>15</v>
      </c>
      <c r="C211" s="13">
        <f t="shared" si="153"/>
        <v>0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51">
        <v>195</v>
      </c>
      <c r="B212" s="13" t="s">
        <v>5</v>
      </c>
      <c r="C212" s="13">
        <f t="shared" si="153"/>
        <v>0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75" x14ac:dyDescent="0.25">
      <c r="A213" s="51">
        <v>196</v>
      </c>
      <c r="B213" s="13" t="s">
        <v>67</v>
      </c>
      <c r="C213" s="13">
        <f t="shared" si="153"/>
        <v>590.6</v>
      </c>
      <c r="D213" s="31">
        <f>D214+D215+D216</f>
        <v>0</v>
      </c>
      <c r="E213" s="31">
        <f t="shared" ref="E213" si="163">E214+E215+E216</f>
        <v>0</v>
      </c>
      <c r="F213" s="31">
        <f>F214+F215+F216</f>
        <v>0</v>
      </c>
      <c r="G213" s="31">
        <f>G214+G215+G216</f>
        <v>0</v>
      </c>
      <c r="H213" s="31">
        <f t="shared" ref="H213:L213" si="164">H214+H215+H216</f>
        <v>0</v>
      </c>
      <c r="I213" s="31">
        <f t="shared" si="164"/>
        <v>0</v>
      </c>
      <c r="J213" s="61">
        <f t="shared" si="164"/>
        <v>159.6</v>
      </c>
      <c r="K213" s="61">
        <f t="shared" si="164"/>
        <v>151</v>
      </c>
      <c r="L213" s="61">
        <f t="shared" si="164"/>
        <v>140</v>
      </c>
      <c r="M213" s="61">
        <f t="shared" ref="M213" si="165">M214+M215+M216</f>
        <v>140</v>
      </c>
      <c r="N213" s="31"/>
    </row>
    <row r="214" spans="1:14" x14ac:dyDescent="0.25">
      <c r="A214" s="51">
        <v>197</v>
      </c>
      <c r="B214" s="13" t="s">
        <v>16</v>
      </c>
      <c r="C214" s="13">
        <f t="shared" si="153"/>
        <v>435.3</v>
      </c>
      <c r="D214" s="32"/>
      <c r="E214" s="32"/>
      <c r="F214" s="32"/>
      <c r="G214" s="32"/>
      <c r="H214" s="32"/>
      <c r="I214" s="32"/>
      <c r="J214" s="62">
        <f>55+24.8</f>
        <v>79.8</v>
      </c>
      <c r="K214" s="62">
        <v>75.5</v>
      </c>
      <c r="L214" s="62">
        <v>140</v>
      </c>
      <c r="M214" s="62">
        <v>140</v>
      </c>
      <c r="N214" s="32"/>
    </row>
    <row r="215" spans="1:14" x14ac:dyDescent="0.25">
      <c r="A215" s="51">
        <v>198</v>
      </c>
      <c r="B215" s="13" t="s">
        <v>2</v>
      </c>
      <c r="C215" s="13">
        <f t="shared" si="153"/>
        <v>0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51">
        <v>199</v>
      </c>
      <c r="B216" s="13" t="s">
        <v>15</v>
      </c>
      <c r="C216" s="13">
        <f t="shared" si="153"/>
        <v>155.30000000000001</v>
      </c>
      <c r="D216" s="32"/>
      <c r="E216" s="32"/>
      <c r="F216" s="32"/>
      <c r="G216" s="32"/>
      <c r="H216" s="32"/>
      <c r="I216" s="32"/>
      <c r="J216" s="62">
        <v>79.8</v>
      </c>
      <c r="K216" s="62">
        <v>75.5</v>
      </c>
      <c r="L216" s="32"/>
      <c r="M216" s="32"/>
      <c r="N216" s="32"/>
    </row>
    <row r="217" spans="1:14" x14ac:dyDescent="0.25">
      <c r="A217" s="51">
        <v>200</v>
      </c>
      <c r="B217" s="27" t="s">
        <v>5</v>
      </c>
      <c r="C217" s="13">
        <f t="shared" si="153"/>
        <v>0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90" x14ac:dyDescent="0.25">
      <c r="A218" s="55">
        <v>201</v>
      </c>
      <c r="B218" s="13" t="s">
        <v>68</v>
      </c>
      <c r="C218" s="13">
        <f t="shared" ref="C218:C222" si="166">SUM(D218:M218)</f>
        <v>371.78</v>
      </c>
      <c r="D218" s="31">
        <f>D219+D220+D221</f>
        <v>0</v>
      </c>
      <c r="E218" s="31">
        <f t="shared" ref="E218" si="167">E219+E220+E221</f>
        <v>0</v>
      </c>
      <c r="F218" s="31">
        <f>F219+F220+F221</f>
        <v>0</v>
      </c>
      <c r="G218" s="31">
        <f>G219+G220+G221</f>
        <v>0</v>
      </c>
      <c r="H218" s="31">
        <f t="shared" ref="H218:M218" si="168">H219+H220+H221</f>
        <v>0</v>
      </c>
      <c r="I218" s="31">
        <f t="shared" si="168"/>
        <v>0</v>
      </c>
      <c r="J218" s="31">
        <f t="shared" si="168"/>
        <v>0</v>
      </c>
      <c r="K218" s="31">
        <f t="shared" si="168"/>
        <v>371.78</v>
      </c>
      <c r="L218" s="31">
        <f t="shared" si="168"/>
        <v>0</v>
      </c>
      <c r="M218" s="31">
        <f t="shared" si="168"/>
        <v>0</v>
      </c>
      <c r="N218" s="31"/>
    </row>
    <row r="219" spans="1:14" x14ac:dyDescent="0.25">
      <c r="A219" s="55">
        <v>202</v>
      </c>
      <c r="B219" s="13" t="s">
        <v>16</v>
      </c>
      <c r="C219" s="13">
        <f t="shared" si="166"/>
        <v>371.78</v>
      </c>
      <c r="D219" s="32"/>
      <c r="E219" s="32"/>
      <c r="F219" s="32"/>
      <c r="G219" s="32"/>
      <c r="H219" s="32"/>
      <c r="I219" s="32"/>
      <c r="J219" s="32">
        <v>0</v>
      </c>
      <c r="K219" s="32">
        <v>371.78</v>
      </c>
      <c r="L219" s="32">
        <v>0</v>
      </c>
      <c r="M219" s="32">
        <v>0</v>
      </c>
      <c r="N219" s="32"/>
    </row>
    <row r="220" spans="1:14" x14ac:dyDescent="0.25">
      <c r="A220" s="55">
        <v>203</v>
      </c>
      <c r="B220" s="13" t="s">
        <v>2</v>
      </c>
      <c r="C220" s="13">
        <f t="shared" si="166"/>
        <v>0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55">
        <v>204</v>
      </c>
      <c r="B221" s="13" t="s">
        <v>15</v>
      </c>
      <c r="C221" s="13">
        <f t="shared" si="166"/>
        <v>0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55">
        <v>205</v>
      </c>
      <c r="B222" s="27" t="s">
        <v>5</v>
      </c>
      <c r="C222" s="13">
        <f t="shared" si="166"/>
        <v>0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60" x14ac:dyDescent="0.25">
      <c r="A223" s="55">
        <v>206</v>
      </c>
      <c r="B223" s="13" t="s">
        <v>71</v>
      </c>
      <c r="C223" s="13">
        <f t="shared" ref="C223:C227" si="169">SUM(D223:M223)</f>
        <v>151.6</v>
      </c>
      <c r="D223" s="31">
        <f>D224+D225+D226</f>
        <v>0</v>
      </c>
      <c r="E223" s="31">
        <f t="shared" ref="E223" si="170">E224+E225+E226</f>
        <v>0</v>
      </c>
      <c r="F223" s="31">
        <f>F224+F225+F226</f>
        <v>0</v>
      </c>
      <c r="G223" s="31">
        <f>G224+G225+G226</f>
        <v>0</v>
      </c>
      <c r="H223" s="31">
        <f t="shared" ref="H223:M223" si="171">H224+H225+H226</f>
        <v>0</v>
      </c>
      <c r="I223" s="31">
        <f t="shared" si="171"/>
        <v>0</v>
      </c>
      <c r="J223" s="31">
        <f t="shared" si="171"/>
        <v>0</v>
      </c>
      <c r="K223" s="61">
        <f t="shared" si="171"/>
        <v>151.6</v>
      </c>
      <c r="L223" s="31">
        <f t="shared" si="171"/>
        <v>0</v>
      </c>
      <c r="M223" s="31">
        <f t="shared" si="171"/>
        <v>0</v>
      </c>
      <c r="N223" s="31"/>
    </row>
    <row r="224" spans="1:14" x14ac:dyDescent="0.25">
      <c r="A224" s="55">
        <v>207</v>
      </c>
      <c r="B224" s="13" t="s">
        <v>16</v>
      </c>
      <c r="C224" s="13">
        <f t="shared" si="169"/>
        <v>75.8</v>
      </c>
      <c r="D224" s="32"/>
      <c r="E224" s="32"/>
      <c r="F224" s="32"/>
      <c r="G224" s="32"/>
      <c r="H224" s="32"/>
      <c r="I224" s="32"/>
      <c r="J224" s="32">
        <v>0</v>
      </c>
      <c r="K224" s="62">
        <v>75.8</v>
      </c>
      <c r="L224" s="32">
        <v>0</v>
      </c>
      <c r="M224" s="32">
        <v>0</v>
      </c>
      <c r="N224" s="32"/>
    </row>
    <row r="225" spans="1:14" x14ac:dyDescent="0.25">
      <c r="A225" s="55">
        <v>208</v>
      </c>
      <c r="B225" s="13" t="s">
        <v>2</v>
      </c>
      <c r="C225" s="13">
        <f t="shared" si="169"/>
        <v>0</v>
      </c>
      <c r="D225" s="32"/>
      <c r="E225" s="32"/>
      <c r="F225" s="32"/>
      <c r="G225" s="32"/>
      <c r="H225" s="32"/>
      <c r="I225" s="32"/>
      <c r="J225" s="32"/>
      <c r="K225" s="62"/>
      <c r="L225" s="32"/>
      <c r="M225" s="32"/>
      <c r="N225" s="32"/>
    </row>
    <row r="226" spans="1:14" x14ac:dyDescent="0.25">
      <c r="A226" s="55">
        <v>209</v>
      </c>
      <c r="B226" s="13" t="s">
        <v>15</v>
      </c>
      <c r="C226" s="13">
        <f t="shared" si="169"/>
        <v>75.8</v>
      </c>
      <c r="D226" s="32"/>
      <c r="E226" s="32"/>
      <c r="F226" s="32"/>
      <c r="G226" s="32"/>
      <c r="H226" s="32"/>
      <c r="I226" s="32"/>
      <c r="J226" s="32"/>
      <c r="K226" s="62">
        <v>75.8</v>
      </c>
      <c r="L226" s="32"/>
      <c r="M226" s="32"/>
      <c r="N226" s="32"/>
    </row>
    <row r="227" spans="1:14" x14ac:dyDescent="0.25">
      <c r="A227" s="55">
        <v>210</v>
      </c>
      <c r="B227" s="27" t="s">
        <v>5</v>
      </c>
      <c r="C227" s="13">
        <f t="shared" si="169"/>
        <v>0</v>
      </c>
      <c r="D227" s="32"/>
      <c r="E227" s="32"/>
      <c r="F227" s="32"/>
      <c r="G227" s="32"/>
      <c r="H227" s="32"/>
      <c r="I227" s="32"/>
      <c r="J227" s="32"/>
      <c r="K227" s="62"/>
      <c r="L227" s="32"/>
      <c r="M227" s="32"/>
      <c r="N227" s="32"/>
    </row>
    <row r="228" spans="1:14" ht="105" x14ac:dyDescent="0.25">
      <c r="A228" s="55">
        <v>211</v>
      </c>
      <c r="B228" s="13" t="s">
        <v>72</v>
      </c>
      <c r="C228" s="13">
        <f t="shared" ref="C228:C232" si="172">SUM(D228:M228)</f>
        <v>48.8</v>
      </c>
      <c r="D228" s="31">
        <f>D229+D230+D231</f>
        <v>0</v>
      </c>
      <c r="E228" s="31">
        <f t="shared" ref="E228" si="173">E229+E230+E231</f>
        <v>0</v>
      </c>
      <c r="F228" s="31">
        <f>F229+F230+F231</f>
        <v>0</v>
      </c>
      <c r="G228" s="31">
        <f>G229+G230+G231</f>
        <v>0</v>
      </c>
      <c r="H228" s="31">
        <f t="shared" ref="H228:M228" si="174">H229+H230+H231</f>
        <v>0</v>
      </c>
      <c r="I228" s="31">
        <f t="shared" si="174"/>
        <v>0</v>
      </c>
      <c r="J228" s="31">
        <f t="shared" si="174"/>
        <v>0</v>
      </c>
      <c r="K228" s="61">
        <f t="shared" si="174"/>
        <v>48.8</v>
      </c>
      <c r="L228" s="31">
        <f t="shared" si="174"/>
        <v>0</v>
      </c>
      <c r="M228" s="31">
        <f t="shared" si="174"/>
        <v>0</v>
      </c>
      <c r="N228" s="31"/>
    </row>
    <row r="229" spans="1:14" x14ac:dyDescent="0.25">
      <c r="A229" s="55">
        <v>212</v>
      </c>
      <c r="B229" s="13" t="s">
        <v>16</v>
      </c>
      <c r="C229" s="13">
        <f t="shared" si="172"/>
        <v>24.4</v>
      </c>
      <c r="D229" s="32"/>
      <c r="E229" s="32"/>
      <c r="F229" s="32"/>
      <c r="G229" s="32"/>
      <c r="H229" s="32"/>
      <c r="I229" s="32"/>
      <c r="J229" s="32">
        <v>0</v>
      </c>
      <c r="K229" s="62">
        <v>24.4</v>
      </c>
      <c r="L229" s="32">
        <v>0</v>
      </c>
      <c r="M229" s="32">
        <v>0</v>
      </c>
      <c r="N229" s="32"/>
    </row>
    <row r="230" spans="1:14" x14ac:dyDescent="0.25">
      <c r="A230" s="55">
        <v>213</v>
      </c>
      <c r="B230" s="13" t="s">
        <v>2</v>
      </c>
      <c r="C230" s="13">
        <f t="shared" si="172"/>
        <v>0</v>
      </c>
      <c r="D230" s="32"/>
      <c r="E230" s="32"/>
      <c r="F230" s="32"/>
      <c r="G230" s="32"/>
      <c r="H230" s="32"/>
      <c r="I230" s="32"/>
      <c r="J230" s="32"/>
      <c r="K230" s="62"/>
      <c r="L230" s="32"/>
      <c r="M230" s="32"/>
      <c r="N230" s="32"/>
    </row>
    <row r="231" spans="1:14" x14ac:dyDescent="0.25">
      <c r="A231" s="55">
        <v>214</v>
      </c>
      <c r="B231" s="13" t="s">
        <v>15</v>
      </c>
      <c r="C231" s="13">
        <f t="shared" si="172"/>
        <v>24.4</v>
      </c>
      <c r="D231" s="32"/>
      <c r="E231" s="32"/>
      <c r="F231" s="32"/>
      <c r="G231" s="32"/>
      <c r="H231" s="32"/>
      <c r="I231" s="32"/>
      <c r="J231" s="32"/>
      <c r="K231" s="62">
        <v>24.4</v>
      </c>
      <c r="L231" s="32"/>
      <c r="M231" s="32"/>
      <c r="N231" s="32"/>
    </row>
    <row r="232" spans="1:14" x14ac:dyDescent="0.25">
      <c r="A232" s="55">
        <v>215</v>
      </c>
      <c r="B232" s="27" t="s">
        <v>5</v>
      </c>
      <c r="C232" s="13">
        <f t="shared" si="172"/>
        <v>0</v>
      </c>
      <c r="D232" s="32"/>
      <c r="E232" s="32"/>
      <c r="F232" s="32"/>
      <c r="G232" s="32"/>
      <c r="H232" s="32"/>
      <c r="I232" s="32"/>
      <c r="J232" s="32"/>
      <c r="K232" s="62"/>
      <c r="L232" s="32"/>
      <c r="M232" s="32"/>
      <c r="N232" s="32"/>
    </row>
  </sheetData>
  <mergeCells count="18">
    <mergeCell ref="B181:N181"/>
    <mergeCell ref="A8:N8"/>
    <mergeCell ref="A10:A11"/>
    <mergeCell ref="B10:B11"/>
    <mergeCell ref="C10:K10"/>
    <mergeCell ref="N10:N11"/>
    <mergeCell ref="B23:N23"/>
    <mergeCell ref="B29:N29"/>
    <mergeCell ref="B41:N41"/>
    <mergeCell ref="B102:N102"/>
    <mergeCell ref="B123:N123"/>
    <mergeCell ref="B144:N144"/>
    <mergeCell ref="A7:N7"/>
    <mergeCell ref="A1:A3"/>
    <mergeCell ref="H1:N1"/>
    <mergeCell ref="H2:N2"/>
    <mergeCell ref="H4:N4"/>
    <mergeCell ref="A6:N6"/>
  </mergeCells>
  <pageMargins left="0.78740157480314965" right="0.39370078740157483" top="0.98425196850393704" bottom="0.39370078740157483" header="0.31496062992125984" footer="0.31496062992125984"/>
  <pageSetup paperSize="9" scale="59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инф. на 09.12</vt:lpstr>
      <vt:lpstr>'инф. на 09.12'!Область_печати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2017-04-21T10:29:42Z</cp:lastPrinted>
  <dcterms:created xsi:type="dcterms:W3CDTF">2006-09-28T05:33:49Z</dcterms:created>
  <dcterms:modified xsi:type="dcterms:W3CDTF">2022-12-14T04:39:50Z</dcterms:modified>
</cp:coreProperties>
</file>