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9" yWindow="32779" windowWidth="24004" windowHeight="9466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<sst xmlns="http://schemas.openxmlformats.org/spreadsheetml/2006/main" count="1314" uniqueCount="448">
  <si>
    <t>всего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</si>
  <si>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</si>
  <si>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</si>
  <si>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</si>
  <si>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</si>
  <si>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>Подпрограмма 1. "Строительство зданий образовательных организаций"</t>
  </si>
  <si>
    <t>-</t>
  </si>
  <si>
    <t>Цели, задачи и целевые показатели реализации муниципальной программы</t>
  </si>
  <si>
    <t xml:space="preserve">N  строки  </t>
  </si>
  <si>
    <t xml:space="preserve">  Наименование цели (целей) и задач, целевых показателей </t>
  </si>
  <si>
    <t xml:space="preserve"> Единица измерения</t>
  </si>
  <si>
    <t xml:space="preserve">      Значение целевого показателя реализации муниципальной программы     </t>
  </si>
  <si>
    <t xml:space="preserve"> Источник  значений показателей</t>
  </si>
  <si>
    <t xml:space="preserve">Цель 1:  Повышение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общества.                                                                                   </t>
  </si>
  <si>
    <t xml:space="preserve">Целевой показатель 1: Наличие проектно-сметной документации на строительство объекта общеобразовательной школы на 350 учащихся       </t>
  </si>
  <si>
    <t>да/нет</t>
  </si>
  <si>
    <t>да</t>
  </si>
  <si>
    <t xml:space="preserve">Задача 2:  Оснащение материально-технической базы учреждений в соответствии с современными требованиями.                                                                               </t>
  </si>
  <si>
    <t xml:space="preserve">Целевой показатель 2: Ввод в эксплуатацию общеобразовательной школы на 350 учащихся   </t>
  </si>
  <si>
    <t>нет</t>
  </si>
  <si>
    <t>%</t>
  </si>
  <si>
    <t xml:space="preserve">Цель 3:  Обеспечение жителей и социально значимых объектов Городского округа Верхняя Тура  качественной питьевой водой из наиболее защищенных подземных источников водоснабжения, соответствующей СанПиН 1074-01                                                                               </t>
  </si>
  <si>
    <t>Задача 4: Обеспечение питьевой водой улучшенного качества  населения и социально значимых объектов (детских учреждений, школ, больниц)</t>
  </si>
  <si>
    <t>Цевой показатель 5: Удельный вес чистой воды, отвечающей гигиеническим требованиям по санитарно-химическим показателям;</t>
  </si>
  <si>
    <t>чел.</t>
  </si>
  <si>
    <t>ед.</t>
  </si>
  <si>
    <t>шт</t>
  </si>
  <si>
    <t>площадка</t>
  </si>
  <si>
    <t>км</t>
  </si>
  <si>
    <t>Цель 11: Повышение комфортности и безопасности проживания населения городского округа  за счет формирования жилищного фонда для переселения граждан из жилых помещений, признаных непригодными для проживания и (или) с высоким уровнем износа</t>
  </si>
  <si>
    <t xml:space="preserve">Целевой показатель 6: Наличие проектно-сметной документации на строительство водозаборных сооружений и сетей водоснабжения в г. Верхняя Тура Свердловской области </t>
  </si>
  <si>
    <t>3/8; 4/8; 5/8; 6/8</t>
  </si>
  <si>
    <t xml:space="preserve">Задача 1: Строительство и ввод объекта образования в Городском округе Верхняя Тура для обеспечения шаговой доступности получения образовательных услуг жителями                                                                             </t>
  </si>
  <si>
    <t xml:space="preserve">Цель 4: Повышение технического уровня и улучшение транспортно-эксплуатационного состояния автомобильных дорог общего пользования в Городском округе Верхняя Тура                                                                                    </t>
  </si>
  <si>
    <t xml:space="preserve">Цель 5: Повышение уровня благоустройства и улучшение внешнего облика территорий Городского округа Верхняя Тура                                                                                    </t>
  </si>
  <si>
    <t xml:space="preserve">Цель 6: Создание комфортных условий для проживания жителей Городского округа Верхняя Тура.                                                                             </t>
  </si>
  <si>
    <t xml:space="preserve">Цель 7: Социальная поддержка жителей Городского округа Верхняя Тура в области жилищно-коммунального хозяйства.                                                                       </t>
  </si>
  <si>
    <t xml:space="preserve">Цель 8: Улучшение жилищных условий граждан за счет проведения капитального ремонта имущества многоквартирных домов и переселения из аварийного жилищного фонда                                                                       </t>
  </si>
  <si>
    <t xml:space="preserve">Задача 5: Увеличение доли автомобильных дорог улично-дорожной сети с твердым покрытием                                                                                 </t>
  </si>
  <si>
    <t>Задача 6: совершенствование и сохранность существующей сети дорог, улучшение инженерного обустройства для обеспечения безопасности дорожного движения</t>
  </si>
  <si>
    <t xml:space="preserve">Задача 7 : Приведение в качественное состояние элементов благоустройства.                                                                                 </t>
  </si>
  <si>
    <t xml:space="preserve">Задача 8 : Реализация мероприятий, направленных на комплексное благоустройство дворовых территорий                    </t>
  </si>
  <si>
    <t xml:space="preserve">Задача 9: Повышение уровня комплексного благоустройства муниципальных территорий                    </t>
  </si>
  <si>
    <t xml:space="preserve">Задача 10 : Строительство подводящих распределительных газопроводов.            </t>
  </si>
  <si>
    <t xml:space="preserve">Задача 11 : Оказание дополнительной меры поддержки отдельным категориям граждан при оплате жилищно-коммунальных услуг.      </t>
  </si>
  <si>
    <t>Задача 12 : Приведение технического состояния многоквартирных домов в соответствии с требованиями нормативных документов</t>
  </si>
  <si>
    <t>Задача 13: Обеспечение переселения граждан из жилищного фонда, признанного в установленном порядке аварийным до 1 января 2012 года</t>
  </si>
  <si>
    <t xml:space="preserve">Целевой показатель 8: Увеличение протяженности сети автомобильных дорог, согласно нормативным требованиям      </t>
  </si>
  <si>
    <t xml:space="preserve">Целевой показатель 9: Увеличение площади улиц, отсыпанных щебнем      </t>
  </si>
  <si>
    <t xml:space="preserve">Целевой показатель 10: Увеличение количества ямочных ремонтов </t>
  </si>
  <si>
    <t>Целевой показатель 11: Содержание дорог в зимний период</t>
  </si>
  <si>
    <t>Целевой показатель 12: Наличие проекта организации дорожного движения улично-дорожной сети</t>
  </si>
  <si>
    <t xml:space="preserve">Целевой показатель 14:  Количество спиленных ветхих тополей      </t>
  </si>
  <si>
    <t xml:space="preserve">Целевой показатель 15: Увеличение площади скашиваемой травы        </t>
  </si>
  <si>
    <t xml:space="preserve">Целевой показатель 16: Увеличение посадки цветов     </t>
  </si>
  <si>
    <t xml:space="preserve">Целевой показатель 17:  Благоустроенность дворовых территорий  </t>
  </si>
  <si>
    <t xml:space="preserve">Целевой показатель 18: Доля населения благоустроенными дворовыми территориями  </t>
  </si>
  <si>
    <t xml:space="preserve">Целевой показатель 19: Доля благоустроенных  территорий от общего количества территорий общего пользования  </t>
  </si>
  <si>
    <t>Целевой показатель 20: Разработка схемы газоснабжения на территории Городского округа Верхняя Тура</t>
  </si>
  <si>
    <t>1695 чел./3800</t>
  </si>
  <si>
    <t>План</t>
  </si>
  <si>
    <t xml:space="preserve"> мероприятий по выполнению муниципальной программы </t>
  </si>
  <si>
    <t xml:space="preserve">  N  строки </t>
  </si>
  <si>
    <t xml:space="preserve">Наименование мероприятия/источники расходов на финансирование </t>
  </si>
  <si>
    <t xml:space="preserve">    Объем расходов на выполнение мероприятия за счет  всех источников ресурсного обеспечения, тыс.рублей   </t>
  </si>
  <si>
    <t xml:space="preserve">Номер строки целевых показателей, на достижение которых направлены мероприятия </t>
  </si>
  <si>
    <t>Всего по муниципальной программе, в том числе</t>
  </si>
  <si>
    <t xml:space="preserve">      x      </t>
  </si>
  <si>
    <t xml:space="preserve">                                     1. Капитальные вложения                                     </t>
  </si>
  <si>
    <t>Всего по направлению "Капитальные вложения",  в том числе</t>
  </si>
  <si>
    <t xml:space="preserve">                 2. Прочие нужды                </t>
  </si>
  <si>
    <t>Всего по направлению "Прочие нужды",  в том числе</t>
  </si>
  <si>
    <t>Всего по подпрограмме 1, в том числе</t>
  </si>
  <si>
    <t xml:space="preserve">Мероприятие 1, Разработка проектно-сметной документации  по привязке  общеобразовательной школы на 350 учащихся, прошедшего государственную экспертизу всего, из них:  </t>
  </si>
  <si>
    <t>Всего по подпрограмме 2, в том числе</t>
  </si>
  <si>
    <t>Подпрограмма 3 "Освоение сопочного месторождения подземного источника водоснабжения и строительство водовода до существующей системы водоснабжения"</t>
  </si>
  <si>
    <t>Всего по подпрограмме 3, в том числе</t>
  </si>
  <si>
    <t xml:space="preserve">Мероприятие 1, Выполнение инженерных изысканий и разработка проектно-сметной документации для строительства водозаборных сооружений и сетей водоснабжения в г. Верхняя Тура Свердловской области всего, из них:  </t>
  </si>
  <si>
    <t xml:space="preserve">Мероприятие 2, Строительство водозаборных сооружений и сетей водоснабжения в г. Верхняя Тура Свердловской области всего, из них:   </t>
  </si>
  <si>
    <t>Подпрограмма 4 "Строительство физкультурно-оздоровительных объектов на территории Городского округа Верхняя Тура"</t>
  </si>
  <si>
    <t>Всего по подпрограмме 4, в том числе</t>
  </si>
  <si>
    <t xml:space="preserve">Мероприятие 1, Приобретение проектно-сметной документации, получение технических условий на строительство лыжной базы и выполнение кадастровых работ  всего, из них:   </t>
  </si>
  <si>
    <t xml:space="preserve">Подпрограмма 5 "Развитие и обеспечение сохранности автомобильных дорог на территории Городского округа Верхняя Тура"   </t>
  </si>
  <si>
    <t>Всего по подпрограмме 5, в том числе</t>
  </si>
  <si>
    <t>Мероприятие 2,  Выполнение мероприятий по ремонту автомобильных дорог общего пользования местного значения всего, из них</t>
  </si>
  <si>
    <t xml:space="preserve">Мероприятие 3,  Разработка проектно-сметной документации на капитальный ремонт дорог, всего из них:  </t>
  </si>
  <si>
    <t>Мероприятие 4, Грейдирование и подсыпка щебнем дорог общего пользования местного значения, всего из них</t>
  </si>
  <si>
    <t>Мероприятие 5, Ямочный ремонт  дорог общего пользования местного значения, всего из них</t>
  </si>
  <si>
    <t>Мероприятие 6, Разметка дорожных покрытий, всего из них</t>
  </si>
  <si>
    <t>Мероприятие 7, Замена и установка дорожных знаков, всего из них</t>
  </si>
  <si>
    <t>Мероприятие 8, Установка дорожных ограждений, всего из них</t>
  </si>
  <si>
    <t>Мероприятие 9, Укладка дорожной неровности, всего из них</t>
  </si>
  <si>
    <t>Мероприятие 10, Содержание дорог в зимний период, всего из них</t>
  </si>
  <si>
    <t>Мероприятие 11, Ремонт тротуара, всего из них</t>
  </si>
  <si>
    <t xml:space="preserve">Подпрограмма 6 "Восстановление, развитие и содержание объектов внешнего благоустройства в Городском округе Верхняя Тура"  </t>
  </si>
  <si>
    <t>Всего по подпрограмме 6, в том числе</t>
  </si>
  <si>
    <t xml:space="preserve">                 2. Прочие нужды          </t>
  </si>
  <si>
    <t>Мероприятие 1, Ликвидация несанкционированных свалок в черте Городского округа Верхняя Тура, всего</t>
  </si>
  <si>
    <t>Мероприятие 2: Спиливание ветхих тополей в черте Городского округа Верхняя Тура</t>
  </si>
  <si>
    <t>Мероприятие 3: Посадка цветов и скашивание травы в черте  Городского округа Верхняя Тура</t>
  </si>
  <si>
    <t>Мероприятие 4: Содержание мест захоронения  Городского округа Верхняя Тура</t>
  </si>
  <si>
    <t xml:space="preserve">Мероприятие 5: Уборка территории, улучшение санитарного состояния, восстановления после загрязнения </t>
  </si>
  <si>
    <t>Мероприятие 6:  Ремонт Мемориала Славы</t>
  </si>
  <si>
    <t xml:space="preserve">Мероприятие 7: Мероприятия по благоустройству дворовых территорий </t>
  </si>
  <si>
    <t xml:space="preserve">Подпрограмма 8 "Газификация Городского округа Верхняя Тура"  </t>
  </si>
  <si>
    <t>Всего по подпрограмме 8, в том числе</t>
  </si>
  <si>
    <t>Мероприятие 1, Выполнение мероприятий по газоснабжению в городском округе, всего из них</t>
  </si>
  <si>
    <t>Всего по подпрограмме 9, в том числе</t>
  </si>
  <si>
    <t>Мероприятие 1: Предоставление гражданам субсидий на оплату жилого помещения и коммунальных услуг из средств областного бюджета, всего,  в том числе</t>
  </si>
  <si>
    <t>Мероприятие 2: Предоставление отдельным категориям граждан компенсаций расходов на оплату жилого помещения и коммунальных услуг из средств областного бюджета,  в том числе</t>
  </si>
  <si>
    <t>Мероприятие 3: Предоставление мер социальной поддержки по оплате жимлого помещения и коммунальных услуг из средств федерального бюджета,  в том числе</t>
  </si>
  <si>
    <t>Мероприятие 4: Компенсация на оплату жилого помещения и жилищно-коммунальных услуг почетным жителям городского округа Верхняя Тура из средств местного бюджета,  в том числе</t>
  </si>
  <si>
    <t>Мероприятие 5: Компенсация отдельным категориям граждан оплаты взноса на капитальный ремонт общего имущества в многоквартирном доме,  в том числе</t>
  </si>
  <si>
    <t>Подпрограмма 10 "Улучшение жилищных условий граждан, проживающих на территории Городского округа Верхняя Тура"</t>
  </si>
  <si>
    <t>Всего по подпрограмме 10, в том числе</t>
  </si>
  <si>
    <t>Мероприятие 1: Долевое участие в строительстве многоквартирных домов без финансовой поддержки фрнда,  в том числе</t>
  </si>
  <si>
    <t>Мероприятие 2: Долевое участие в строительстве МКД с финансовой поддержкой фонда,  в том числе</t>
  </si>
  <si>
    <t>Подпрограмма 11 "Комплексная модернизация централизованной системы водоотведения ГО Верхняя Тура"</t>
  </si>
  <si>
    <t xml:space="preserve">Цель 12: Обеспечение приема и очистки сточных вод в объеме, предусмотренном Генеральным планом  г.Верхняя Тура  на 2012-2037.г.г.                                                </t>
  </si>
  <si>
    <t>Всего по подпрограмме 11, в том числе</t>
  </si>
  <si>
    <t>Всего по подпрограмме 12, в том числе</t>
  </si>
  <si>
    <t>Подпрограмма 12 "Формирование современной городской среды на территории Городского округа Верхняя Тура"</t>
  </si>
  <si>
    <t>Мероприятие 1: Комплексное благоустройство дворовых территорий многоквартирных домов</t>
  </si>
  <si>
    <t>средства собственников</t>
  </si>
  <si>
    <t xml:space="preserve">Мероприятие 3:  Проведение проверки достоверности определения сметной стоимости объекта" Комплексное благоустройство муниципальных территорий общественного назначения" </t>
  </si>
  <si>
    <t>Ремонт автомобильных дорог общего пользования  местного значения в рамках реализации мероприятий приоритетной региональной программы "Комплексное развитие моногородов" в Городском округе Верхняя Тура. Объект: ул. Машиностроителей</t>
  </si>
  <si>
    <t>Ремонт участка дороги по улице К.Либкнехта от дома № 147 до № 170</t>
  </si>
  <si>
    <t>Разработка проекта организации дорожного движения улично-дорожной сети, всего из них</t>
  </si>
  <si>
    <t>Мероприятие 12, Повышение безопасности дорожного движения, всего из них</t>
  </si>
  <si>
    <t>Ремонт участка тротуара по ул. Машиностроителей</t>
  </si>
  <si>
    <t>Разработка проектно-сметной документации "Благоустройство набережной в городском округе Верхняя Тура"</t>
  </si>
  <si>
    <t>Мероприятияе 8: Мероприятия по ликвидации ветхих сооружений</t>
  </si>
  <si>
    <t>Комплексное благоустройство муниципальных территорий общественного назначения (комплексное благоустройство пешеходной зоны ул. Машиностроителей)</t>
  </si>
  <si>
    <t>Модернизация нерегулируемых пешеходных переходов, всего из них</t>
  </si>
  <si>
    <t>Мероприятие 13 "Покупка техники для содержания дорог в зимний и летний периоды", всего из них</t>
  </si>
  <si>
    <t>Мероприятие 14 "Проведение экспертизы и лабораторных исследований"</t>
  </si>
  <si>
    <t>Мероприятие 11.1 Расширение тротуара по переулку Безымянный</t>
  </si>
  <si>
    <t>Мероприятие 11.2 Устройство тротуара по ул.Карла Маркса (от храма А.Невского до гоодского кладбища)</t>
  </si>
  <si>
    <t xml:space="preserve">       1. Капитальные вложения         </t>
  </si>
  <si>
    <t>Подпрограмма 13 "Строительство зданий культуры и искусства"</t>
  </si>
  <si>
    <t>Всего по подпрограмме 13, в том числе</t>
  </si>
  <si>
    <t>Целевой показатель 22: Строительсво ветки газопровода</t>
  </si>
  <si>
    <t>Целевой показатель 23: Доля граждан получающих  льготы и субсидии на оплату ЖКУ</t>
  </si>
  <si>
    <t>Целевой показатель 24: Доля граждан, проживающих в аварийном и ветхом жилищном фонде, по отношению к общей численности населения Городского округа Верхняя Тура</t>
  </si>
  <si>
    <t>Целевой показатель 25: Количество расселяемых аварийных многоквартирных домов в год</t>
  </si>
  <si>
    <t>Целевой показатель 26: Общая площадь расселяемых жилых помещений в год</t>
  </si>
  <si>
    <t>Целевой показатель 27: Количество граждан, переселяемых из многоквартирных жилых домов, признанных в установленном порядке аварийными и подлежащими сносу в связи с физическим износом, в год</t>
  </si>
  <si>
    <t>Целевой показатель 30: Доля благоустроенных дворовых территорий</t>
  </si>
  <si>
    <t>Целевой показатель 31: Доля населения благоустроенными дворовыми территориями</t>
  </si>
  <si>
    <t>Целевой показатель 32: Доля площади благоустроенных муниципальных территорий общего пользования</t>
  </si>
  <si>
    <t>Целевой показатель 34: ввод в эксплуатацию объекта «Центр культуры и искусств в Городском округе Верхняя Тура Свердловской области»</t>
  </si>
  <si>
    <t>Целевой показатель 33: наличие проектно-сметной документации объекта «Строительство центра культуры и искусств в Городском округе Верхняя Тура Свердловской области»</t>
  </si>
  <si>
    <t>Целевой показатель 21: Наличие проектно-сметной документации объекта "Строительство распределительного газопровода микрорайона "Рига" в Городском округе Верхняя Тура Свердловской области"</t>
  </si>
  <si>
    <t>299.1</t>
  </si>
  <si>
    <t>299.2</t>
  </si>
  <si>
    <t>299.3</t>
  </si>
  <si>
    <t>299.4</t>
  </si>
  <si>
    <t>299.5</t>
  </si>
  <si>
    <t>Мероприятие 1. Разработка проектно-сметной документации «Строительство центра культуры и искусств в Городском округе Верхняя Тура Свердловской области»</t>
  </si>
  <si>
    <t>Мероприятие 1, Разработка ПСД реконструкции автомобильной дороги общего пользования по переулку Безымянному от плотины до улицы Мира с продолжением по улице Мира до дома интерната</t>
  </si>
  <si>
    <t>Мероприятие 2, Капитальный ремонт автомобильной дороги общего пользования по улице Гробова от улицы Иканина до улицы 8 марта</t>
  </si>
  <si>
    <t>114.1</t>
  </si>
  <si>
    <t>114.2</t>
  </si>
  <si>
    <t>114.3</t>
  </si>
  <si>
    <t>114.4</t>
  </si>
  <si>
    <t>114.5</t>
  </si>
  <si>
    <t>Мероприятие 15 "Устройство тротуара по ул. Машиностроителей от ул. Володарского до ул. Лермонтова с установкой светофоров на перекрестке ул. Машиностроителей - ул. Володарского"</t>
  </si>
  <si>
    <t>220.1</t>
  </si>
  <si>
    <t>220.2</t>
  </si>
  <si>
    <t>220.3</t>
  </si>
  <si>
    <t>220.4</t>
  </si>
  <si>
    <t>220.5</t>
  </si>
  <si>
    <t>Мероприятие 2, Строительство распределительного газопровода микрорайона "Рига" в Городском округе Верхняя Тура Свердловской области</t>
  </si>
  <si>
    <t>9-1</t>
  </si>
  <si>
    <t>277.1</t>
  </si>
  <si>
    <t>277.2</t>
  </si>
  <si>
    <t>277.3</t>
  </si>
  <si>
    <t>277.4</t>
  </si>
  <si>
    <t>277.5</t>
  </si>
  <si>
    <t>277.6</t>
  </si>
  <si>
    <t>277.7</t>
  </si>
  <si>
    <t>277.8</t>
  </si>
  <si>
    <t>277.9</t>
  </si>
  <si>
    <t>277.10</t>
  </si>
  <si>
    <t>277.11</t>
  </si>
  <si>
    <t>277.12</t>
  </si>
  <si>
    <t>277.13</t>
  </si>
  <si>
    <t>277.14</t>
  </si>
  <si>
    <t>277.15</t>
  </si>
  <si>
    <t>277.16</t>
  </si>
  <si>
    <t>277.17</t>
  </si>
  <si>
    <t>277.18</t>
  </si>
  <si>
    <t>277.19</t>
  </si>
  <si>
    <t>277.20</t>
  </si>
  <si>
    <t>277.21</t>
  </si>
  <si>
    <t>277.22</t>
  </si>
  <si>
    <t>277.23</t>
  </si>
  <si>
    <t>277.24</t>
  </si>
  <si>
    <t>277.25</t>
  </si>
  <si>
    <t>277.26</t>
  </si>
  <si>
    <t>277.27</t>
  </si>
  <si>
    <t>277.28</t>
  </si>
  <si>
    <t>Подпрограмма 7  "Комплексное благоустройство дворовых территорий в Городском округе Верхняя Тура"</t>
  </si>
  <si>
    <t>Всего по подпрограмме 7, в том числе</t>
  </si>
  <si>
    <t>Мероприятие 1:  Прохождение ценовой экспертизы</t>
  </si>
  <si>
    <t>Мероприятие 2: Строительство детской площадки в черте Городского округа Верхняя Тура</t>
  </si>
  <si>
    <t>12.1</t>
  </si>
  <si>
    <t>12.2</t>
  </si>
  <si>
    <t xml:space="preserve">Целевой показатель 7: Обеспечение населения качественной питьевой водой в полном объеме </t>
  </si>
  <si>
    <t>Целевой показатель 7.1: Строительство сетей водоснабжения</t>
  </si>
  <si>
    <t>Целевой показатель 7.2: Ввод водозаборных сооружений в эксплуатацию</t>
  </si>
  <si>
    <r>
      <t>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/сутки</t>
    </r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</si>
  <si>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</si>
  <si>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</si>
  <si>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r>
      <t>м</t>
    </r>
    <r>
      <rPr>
        <vertAlign val="superscript"/>
        <sz val="12"/>
        <rFont val="Times New Roman"/>
        <family val="1"/>
      </rPr>
      <t>2</t>
    </r>
  </si>
  <si>
    <t>10, 12.1, 12.2</t>
  </si>
  <si>
    <t xml:space="preserve">Цель 13: Создание условий для повышения уровня комфортности проживания за счет функционального зонирования территорий и обеспечение благоприятных условий для жизни населения, улучшение состояния окружающей городской среды                                                                     </t>
  </si>
  <si>
    <t xml:space="preserve">Цель 14: духовно-нравственное развитие личности и реализация человеческого потенциала населения Городского округа Верхняя Тура                                                         </t>
  </si>
  <si>
    <t xml:space="preserve">Задача 15: Повышение уровня комплексного благоустройства дворовых территорий;                                                                                 </t>
  </si>
  <si>
    <t xml:space="preserve">Задача 16:  Повышение уровня комплексного благоустройства муниципальных территорий общего пользования                                                                             </t>
  </si>
  <si>
    <t xml:space="preserve">Задача 17: повышение доступности и качества услуг, оказываемых населению в сфере культуры                                                                     </t>
  </si>
  <si>
    <t xml:space="preserve">Мероприятие 1. Разработка проектно-сметной документации по объекту: «Станция биологической очистки хозбытовых сточных вод централизованной системы водоотведения ГО Верхняя Тура Свердловской области»  всего, из них:  </t>
  </si>
  <si>
    <t xml:space="preserve">Мероприятие 2. Строительство объекта: «Станция биологической очистки хозбытовых сточных вод централизованной системы водоотведения ГО Верхняя Тура Свердловской области»  всего, из них:  </t>
  </si>
  <si>
    <t xml:space="preserve">Задача 14:  Строительство и ввод объекта "Станция биологической очистки хозбытовых сточных вод централизованной системы водоотведения ГО Верхняя Тура Свердловской области"                                                                                </t>
  </si>
  <si>
    <t>Целевой  показатель 28: Наличие проектно-сметной документации на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</si>
  <si>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>Целевой  показатель 29: Ввод в эксплуатацию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</si>
  <si>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>97.1</t>
  </si>
  <si>
    <t>97.2</t>
  </si>
  <si>
    <t>97.3</t>
  </si>
  <si>
    <t>97.4</t>
  </si>
  <si>
    <t>97.5</t>
  </si>
  <si>
    <t>Перечень</t>
  </si>
  <si>
    <t xml:space="preserve">объектов капитального строительства для бюджетных инвестиций </t>
  </si>
  <si>
    <t xml:space="preserve">N строки   </t>
  </si>
  <si>
    <t xml:space="preserve">  Наименование объекта капитального строительства/источники расходов на финансирование объекта капитального строительства </t>
  </si>
  <si>
    <t>Адрес объекта капитального строительства</t>
  </si>
  <si>
    <t xml:space="preserve">Форма  собственности </t>
  </si>
  <si>
    <t xml:space="preserve">  Сметная стоимость объекта, тыс.рублей:  </t>
  </si>
  <si>
    <t xml:space="preserve">Сроки строительства (проектно-сметных работ,  экспертизы проектно-сметной документации)        </t>
  </si>
  <si>
    <t xml:space="preserve">           Объемы финансирования, тыс. рублей            </t>
  </si>
  <si>
    <t xml:space="preserve">в текущих ценах (на момент составления проектно-сметной документации)  </t>
  </si>
  <si>
    <t xml:space="preserve">в ценах соответствующих лет реализации проекта  </t>
  </si>
  <si>
    <t>начало</t>
  </si>
  <si>
    <t xml:space="preserve">ввод (завершение)  </t>
  </si>
  <si>
    <t>г.Верхняя Тура ул.Мира</t>
  </si>
  <si>
    <t>муниципальная</t>
  </si>
  <si>
    <t xml:space="preserve">ВСЕГО  по объекту 1, в том числе          </t>
  </si>
  <si>
    <t xml:space="preserve">ВСЕГО  по объекту 2, в том числе          </t>
  </si>
  <si>
    <t xml:space="preserve">ВСЕГО по объекту 3, в том числе    </t>
  </si>
  <si>
    <t xml:space="preserve">ВСЕГО  по объекту 4, в том числе          </t>
  </si>
  <si>
    <t>г.Верхняя Тура улица Гробова от ул.Иканина до ул.8 Марта</t>
  </si>
  <si>
    <t xml:space="preserve">ВСЕГО  по объекту 5, в том числе          </t>
  </si>
  <si>
    <t xml:space="preserve">ВСЕГО  по объекту 6, в том числе          </t>
  </si>
  <si>
    <t xml:space="preserve">ВСЕГО  по объекту 7, в том числе          </t>
  </si>
  <si>
    <t xml:space="preserve">ВСЕГО  по объекту 8, в том числе          </t>
  </si>
  <si>
    <t>г.Верхняя Тура пер. Безымянный с продолжением по улице Мира до дома интерната</t>
  </si>
  <si>
    <t>г. Верхняя Тура, микрорайон "Рига"</t>
  </si>
  <si>
    <t xml:space="preserve">ВСЕГО  по объекту 9, в том числе          </t>
  </si>
  <si>
    <t xml:space="preserve">ВСЕГО  по объекту 10, в том числе          </t>
  </si>
  <si>
    <t>г. Верхняя Тура, ул. Машиностроителей, 32</t>
  </si>
  <si>
    <t xml:space="preserve">ВСЕГО  по объекту 11, в том числе          </t>
  </si>
  <si>
    <t xml:space="preserve">ВСЕГО  по объекту 12, в том числе          </t>
  </si>
  <si>
    <t>г. Верхняя Тура, ул. Машиностроителей, 4</t>
  </si>
  <si>
    <t>Мероприятие 3. 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обл.</t>
  </si>
  <si>
    <t>г. Верхняя Тура, ул. Грушина 108, 118а, 145, 133, ул. Карла Либкнехта 193, 187, 178, 209, 197</t>
  </si>
  <si>
    <t>9-2</t>
  </si>
  <si>
    <t>количество мест</t>
  </si>
  <si>
    <t xml:space="preserve">Мероприятие 2, Строительство средней общеобразовательной школы в г. Верхняя Тура Свердловской области всего, из них:   </t>
  </si>
  <si>
    <t>Подпрограмма 1. «Строительство зданий образовательных организаций»</t>
  </si>
  <si>
    <t xml:space="preserve">Подпрограмма 3   «Освоение сопочного месторождения подземного источника водоснабжения и строительство водовода до существующей системы водоснабжения»                                                                                                                                                 </t>
  </si>
  <si>
    <t xml:space="preserve">Подпрограмма 5  «Развитие и обеспечение сохранности автомобильных дорог на территории Городского округа Верхняя Тура»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</si>
  <si>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6  «Восстановление, развитие и содержание объектов внешнего благоустройства в Городском округе Верхняя Тура»                                                                                 </t>
  </si>
  <si>
    <t xml:space="preserve">Подпрограмма 8  «Газификация Городского округа Верхняя Тура»                                                                        </t>
  </si>
  <si>
    <t xml:space="preserve">Подпрограмма 10  «Улучшение жилищных условий граждан, проживающих на территории Городского округа Верхняя Тура»                                                                        </t>
  </si>
  <si>
    <t xml:space="preserve">Подпрограмма 11 «Комплексная модернизация централизованной системы водоотведения ГО Верхняя Тура» </t>
  </si>
  <si>
    <t xml:space="preserve">Подпрограмма 12 «Формирование современной городской среды на территории Городского округа Верхняя Тура» </t>
  </si>
  <si>
    <t xml:space="preserve">Подпрограмма 13 «Строительство зданий культуры и искусства» </t>
  </si>
  <si>
    <t xml:space="preserve">Объект 1  «Строительство средней общеобразовательной школы в г. Верхняя Тура Свердловской области»       </t>
  </si>
  <si>
    <t xml:space="preserve">Объект 3 «Строительство водозаборных сооружений и сетей водоснабжения в г. Верхняя Тура Свердловской области»  </t>
  </si>
  <si>
    <t xml:space="preserve">Объект 4  «Строительство лыжной базы на территории городского округа»         </t>
  </si>
  <si>
    <t xml:space="preserve">Объект 5  «Строительство физкультурно-оздоровительного комплекса в Городском округе Верхняя Тура»      </t>
  </si>
  <si>
    <t xml:space="preserve">Объект 6 «Капитальный ремонт автомобильной дороги общего пользования по улице Гробова от ул.Иканина до ул.8 Марта»      </t>
  </si>
  <si>
    <t xml:space="preserve">Объект 7 «Реконструкция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области»      </t>
  </si>
  <si>
    <t xml:space="preserve">Объект 8  «Строительство распределительного газопровода микрорайона "Рига" в Городском округе Верхняя Тура Свердловской области»             </t>
  </si>
  <si>
    <t xml:space="preserve">Объект 9  «Строительство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области»           </t>
  </si>
  <si>
    <t>Объект 10  «Долевое участие в строительстве многоквартирных домов»</t>
  </si>
  <si>
    <t xml:space="preserve">Объект 11  «Строительство станции биологической очистки хозбытовых сточных вод централизованной системы водоотведения ГО Верхняя Тура»    </t>
  </si>
  <si>
    <t>Подпрограмма 2 "Чистая среда"</t>
  </si>
  <si>
    <t xml:space="preserve">Подпрограмма 2  «Чистая среда»                                                                                                                                                 </t>
  </si>
  <si>
    <t xml:space="preserve">Цель 2: Снижение негативного воздействия отходов производства и потребления на окружающую среду на территории Городского округа Верхняя Тура.                                                        </t>
  </si>
  <si>
    <t xml:space="preserve">Целевой  показатель 4: Ликвидация несанкционированных свалок        </t>
  </si>
  <si>
    <t>6.1</t>
  </si>
  <si>
    <t>6.2</t>
  </si>
  <si>
    <t>6.3</t>
  </si>
  <si>
    <t>6.4</t>
  </si>
  <si>
    <t>6.5</t>
  </si>
  <si>
    <t>58.1</t>
  </si>
  <si>
    <t>58.2</t>
  </si>
  <si>
    <t>58.3</t>
  </si>
  <si>
    <t>58.4</t>
  </si>
  <si>
    <t>58.5</t>
  </si>
  <si>
    <t>Подпрограмма 14 "Развитие жилищно-коммунального хозяйства на территории Городского округа Верхняя Тура"</t>
  </si>
  <si>
    <t>Всего по подпрограмме 14, в том числе</t>
  </si>
  <si>
    <t>Мероприятие 1. Разработка проектно-сметной документации «Строительство котельной на биомассе мощностью 1,5 МВт»</t>
  </si>
  <si>
    <t xml:space="preserve">Подпрограмма 14 «Развитие жилищно-коммунального хозяйства на территории Городского округа Верхняя Тура» </t>
  </si>
  <si>
    <t>г. Верхняя Тура, ул. Лесная, 10</t>
  </si>
  <si>
    <t>Целевой показатель 36: ввод в эксплуатацию объекта «Котельная на биомассе мощностью 1,5 МВт»</t>
  </si>
  <si>
    <t xml:space="preserve">Подпрограмма 4   «Строительство зданий физкультурно-оздоровительных объектов на территории Городского округа Верхняя Тура»                                                                                                                                                 </t>
  </si>
  <si>
    <t>12.3</t>
  </si>
  <si>
    <t>12.4</t>
  </si>
  <si>
    <t>12.5</t>
  </si>
  <si>
    <t>12.6</t>
  </si>
  <si>
    <t>12.7</t>
  </si>
  <si>
    <t xml:space="preserve">Цель 3.1:  создание условий, обеспечивающих населению города возможность систематически заниматься физической культурой и массовым спортом, вести здоровый образ жизни                                                                           </t>
  </si>
  <si>
    <t>Задача 4.1: развитие инфраструктуры сферы физической культуры</t>
  </si>
  <si>
    <t xml:space="preserve">ВСЕГО  по объекту 13, в том числе          </t>
  </si>
  <si>
    <t>Цель 15: повышение энергетической эффективности экономики городского округа Верхняя Тура , в том числе за счет активации энергосбережения</t>
  </si>
  <si>
    <t xml:space="preserve">Задача 18: повышение уровня рационального использования топлива и энергии с широким внедрением энергосберегающих технологий, материалов и (или) оборудования высокого класса энергетической эффективности                                                                 </t>
  </si>
  <si>
    <t>Целевой показатель 35: разработка проектно-сметной документации объекта «Строительство котельной на биомассе мощностью 1,5 МВт»</t>
  </si>
  <si>
    <t>114.6</t>
  </si>
  <si>
    <t>114.7</t>
  </si>
  <si>
    <t>114.8</t>
  </si>
  <si>
    <t>114.9</t>
  </si>
  <si>
    <t>114.10</t>
  </si>
  <si>
    <t>114.11</t>
  </si>
  <si>
    <t>114.12</t>
  </si>
  <si>
    <t>114.13</t>
  </si>
  <si>
    <t>114.14</t>
  </si>
  <si>
    <t>114.15</t>
  </si>
  <si>
    <t>299.6</t>
  </si>
  <si>
    <t>299.7</t>
  </si>
  <si>
    <t>299.8</t>
  </si>
  <si>
    <t>299.9</t>
  </si>
  <si>
    <t>299.10</t>
  </si>
  <si>
    <t>39.1</t>
  </si>
  <si>
    <t>Целевой показатель 22.1: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</si>
  <si>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 xml:space="preserve">Объект 12  «Строительство центра культуры и искусств в Городском округе Верхняя Тура Свердловской области»        </t>
  </si>
  <si>
    <t xml:space="preserve">Объект 13  «Строительство котельной на биомассе мощностью 1,5 МВт»     </t>
  </si>
  <si>
    <t xml:space="preserve">Объект 14  «Газоснабжение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области»     </t>
  </si>
  <si>
    <t>г. Верхняя Тура, ул. Фомина, ул. 25 лет Октября, ул. Крупская, ул. Кривощекова, ул. Иканина и ул. Карла Либкнехта</t>
  </si>
  <si>
    <t xml:space="preserve">ВСЕГО  по объекту 14, в том числе          </t>
  </si>
  <si>
    <t>Мероприятие 2.2, Разработка проектно-сметной документации "Реконструкция автомобильной дороги по улице Карла Либкнехта в Городском округе Верхняя Тура Свердловской области"</t>
  </si>
  <si>
    <t>Мероприятие 2.1,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</si>
  <si>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Мероприятие 1, Выполнение инженерных изысканий и разработка проектно-сметной документации полигона твердых бытовых (коммунальных) отходов Городского округа Верхняя Тура Свердловской области  всего, из них:  </t>
  </si>
  <si>
    <t>58.6</t>
  </si>
  <si>
    <t xml:space="preserve">Мероприятие 2, Разработка проектно-сметной документации  "Рекультивация полигона твердых коммунальных отходов в г. Верхняя Тура" всего, из них:  </t>
  </si>
  <si>
    <t>6.6</t>
  </si>
  <si>
    <t>Целевой  показатель 3: Наличие проектно-сметной документации на строительство полигона твердых коммунальных отходов в г. Верхняя Тура</t>
  </si>
  <si>
    <t xml:space="preserve">Задача 3:  Строительство полигона твёрдых коммунальных отходов, отвечающего требованиям природоохранного и санитарно-эпидемиологического законодательства Российской Федерации                                                                                 </t>
  </si>
  <si>
    <t>Целевой  показатель 3.1: Наличие проектно-сметной документации на рекультивацию полигона твердых коммунальных отходов в г. Верхняя Тура</t>
  </si>
  <si>
    <t xml:space="preserve">Задача 3.1:  Рекультивация полигона твёрдых коммунальных отходов                                                                                </t>
  </si>
  <si>
    <t>6.7</t>
  </si>
  <si>
    <t xml:space="preserve">Объект 2  «Рекультивация полигона твердых коммунальных отходов в г. Верхняя Тура»       </t>
  </si>
  <si>
    <t xml:space="preserve">Целевой показатель 13:  Увеличение объема ликвидированных несанкционированных свалок    </t>
  </si>
  <si>
    <t xml:space="preserve">Объект 15  «Реконструкция автомобильной дороги по улице Карла Либкнехта в Городском округе Верхняя Тура Свердловской области»     </t>
  </si>
  <si>
    <t>г. Верхняя Тура, ул. Карла Либкнехта</t>
  </si>
  <si>
    <t xml:space="preserve">ВСЕГО  по объекту 15, в том числе          </t>
  </si>
  <si>
    <t xml:space="preserve">Подпрограмма 9  «Социальная поддержка отдельных категорий граждан в области жилищно-коммунального хозяйства»                                                                                    </t>
  </si>
  <si>
    <t>220.6</t>
  </si>
  <si>
    <t>220.7</t>
  </si>
  <si>
    <t>220.8</t>
  </si>
  <si>
    <t>220.9</t>
  </si>
  <si>
    <t>220.10</t>
  </si>
  <si>
    <t>Подпрограмма 9 "Социальная поддержка отдельных категории граждан в области жилищно-коммунального хозяйства"</t>
  </si>
  <si>
    <t xml:space="preserve">Мероприятие 2, Разработка проектно-сметной документации "Строительство физкультурно-оздоровительного комплекса с бассейном в Городском округе Верхняя Тура"  всего, из них:   </t>
  </si>
  <si>
    <t>Мероприятие 9: ремонт, содержание, покраска объектов внешнего благоустройства, изготовление адресных табличек</t>
  </si>
  <si>
    <t>114.16</t>
  </si>
  <si>
    <t>114.17</t>
  </si>
  <si>
    <t>114.18</t>
  </si>
  <si>
    <t>114.19</t>
  </si>
  <si>
    <t>114.20</t>
  </si>
  <si>
    <t>299.11</t>
  </si>
  <si>
    <t>299.12</t>
  </si>
  <si>
    <t>299.13</t>
  </si>
  <si>
    <t>299.14</t>
  </si>
  <si>
    <t>299.15</t>
  </si>
  <si>
    <t>Мероприятие 2.3,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</si>
  <si>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 xml:space="preserve">Объект 16  «Реконструкция улицы Карла Маркса с участком автомобильной дороги г. Красноуральск - пос. Арбатский с мостом через реку Тура»     </t>
  </si>
  <si>
    <t>г. Верхняя Тура, улица Карла Маркса с участком автомобильной дороги г. Красноуральск - пос. Арбатский с мостом через реку Тура</t>
  </si>
  <si>
    <t xml:space="preserve">ВСЕГО  по объекту 16, в том числе          </t>
  </si>
  <si>
    <t xml:space="preserve">ВСЕГО  по объекту 17, в том числе          </t>
  </si>
  <si>
    <t>Мероприятие 5.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</si>
  <si>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Объект 17  «Газоснабжение жилых домов левобережной части Городского округа Верхняя Тура»     </t>
  </si>
  <si>
    <t>г. Верхняя Тура</t>
  </si>
  <si>
    <t>9-3</t>
  </si>
  <si>
    <t>9-4</t>
  </si>
  <si>
    <t>39.2</t>
  </si>
  <si>
    <t>Целевой показатель 22.2: Разработка проектно-сметной документации по объекту "Газоснабжение жилых домов левобережной части Городского округа Верхняя Тура"</t>
  </si>
  <si>
    <t>299.16</t>
  </si>
  <si>
    <t>299.17</t>
  </si>
  <si>
    <t>299.18</t>
  </si>
  <si>
    <t>299.19</t>
  </si>
  <si>
    <t>299.20</t>
  </si>
  <si>
    <t>97.6</t>
  </si>
  <si>
    <t>97.7</t>
  </si>
  <si>
    <t>97.8</t>
  </si>
  <si>
    <t>97.9</t>
  </si>
  <si>
    <t>97.10</t>
  </si>
  <si>
    <t>Мероприятие 3. Строительство физкультурно-оздоровительного комплекса с бассейном в Городском округе Верхняя Тура</t>
  </si>
  <si>
    <t>Цевой показатель 7.3: Наличие проектно-сметной документации "Строительство физкультурно-оздоровительного комплекса с бассейном в Городском округе Верхняя Тура"</t>
  </si>
  <si>
    <t>Целевой показатель 7.4: Ввод в эксплуатацию объекта "Физкультурно-оздоровительный комплекс с бассейном Городском округе Верхняя Тура"</t>
  </si>
  <si>
    <t>114.21</t>
  </si>
  <si>
    <t>114.22</t>
  </si>
  <si>
    <t>114.23</t>
  </si>
  <si>
    <t>114.24</t>
  </si>
  <si>
    <t>114.25</t>
  </si>
  <si>
    <t>Мероприятие 2.4. Реконструкция автомобильной дороги по улице Карла Либкнехта в Городском округе Верхняя Тура Свердловской области</t>
  </si>
  <si>
    <t>299.21</t>
  </si>
  <si>
    <t>299.22</t>
  </si>
  <si>
    <t>299.23</t>
  </si>
  <si>
    <t>299.24</t>
  </si>
  <si>
    <t>299.25</t>
  </si>
  <si>
    <t>299.26</t>
  </si>
  <si>
    <t>299.27</t>
  </si>
  <si>
    <t>299.28</t>
  </si>
  <si>
    <t>299.29</t>
  </si>
  <si>
    <t>299.30</t>
  </si>
  <si>
    <t xml:space="preserve">Объект 18  «Газоснабжение жилых домов от д.119 до д.189 по ул.Фомина г. Верхняя Тура»     </t>
  </si>
  <si>
    <t>Мероприятие 2. Строительство центра культуры и искусств в Городском округе Верхняя Тура Свердловской области</t>
  </si>
  <si>
    <t>Мероприятие 3.  Сохранение объекта археологического наследия Свердловской области "Культурный слой города Верхняя Тура 18-19 веков"</t>
  </si>
  <si>
    <t>Мероприятие 4. 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</t>
  </si>
  <si>
    <t>Мероприятие 6..Газоснабжение жилых домов от д.119 до д.189 по ул.Фомина г. Верхняя Тура</t>
  </si>
  <si>
    <t>Мероприятие 8. Выполнение проектных работ по объекту "Газификация здания городской общественной бани"</t>
  </si>
  <si>
    <t>438.1</t>
  </si>
  <si>
    <t>438.2</t>
  </si>
  <si>
    <t>438.3</t>
  </si>
  <si>
    <t>438.4</t>
  </si>
  <si>
    <t>438.5</t>
  </si>
  <si>
    <t>39.3</t>
  </si>
  <si>
    <t>39.4</t>
  </si>
  <si>
    <t>Целевой показатель 22.2: Разработка проектно-сметной документации по объекту "Газоснабжение жилых домов от д.119 до д.189 по ул.Фомина г. Верхняя Тура"</t>
  </si>
  <si>
    <t>Целевой показатель 22.4: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</si>
  <si>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Мероприятие 7.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</si>
  <si>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Объект 18 "Разработка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</si>
  <si>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Мероприятие 16 Обслуживание, текущий ремонт, настройка светофоров</t>
  </si>
  <si>
    <t>299.31</t>
  </si>
  <si>
    <t>299.32</t>
  </si>
  <si>
    <t>299.33</t>
  </si>
  <si>
    <t>299.34</t>
  </si>
  <si>
    <t>299.35</t>
  </si>
  <si>
    <t>Мероприятие 9. Газоснабжение жилых домов левобережной части Городского округа Верхняя Тура</t>
  </si>
  <si>
    <t>9-5</t>
  </si>
  <si>
    <t>9-6</t>
  </si>
  <si>
    <t>9-7</t>
  </si>
  <si>
    <t>«Строительство, развитие и содержание объектов городского и дорожного хозяйства Городского округа Верхняя Тура до 2027 года»</t>
  </si>
  <si>
    <t xml:space="preserve">Приложение № 1 к постановлению Администрации городского округа Верхняя Тура от __.08.2022 № __              </t>
  </si>
  <si>
    <t xml:space="preserve">Приложение № 2 к постановлению Администрации Городского округа Верхняя Тура от __.08.2022 № __                              </t>
  </si>
  <si>
    <t xml:space="preserve">Приложение № 3 к постановлению Администрации Городского округа Верхняя Тура от __.08.2022 № __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</si>
</sst>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_р_._-;_-@_-"/>
    <numFmt numFmtId="178" formatCode="#,##0.00_ ;\-#,##0.00\ "/>
    <numFmt numFmtId="179" formatCode="#,##0.0_ ;\-#,##0.0\ "/>
    <numFmt numFmtId="180" formatCode="0.0"/>
    <numFmt numFmtId="181" formatCode="#,##0.0"/>
    <numFmt numFmtId="182" formatCode="_-* #,##0.0\ _₽_-;\-* #,##0.0\ _₽_-;_-* &quot;-&quot;?\ _₽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"/>
    <numFmt numFmtId="186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2" fontId="4" fillId="0" borderId="10" xfId="60" applyNumberFormat="1" applyFont="1" applyFill="1" applyBorder="1" applyAlignment="1">
      <alignment horizontal="center" vertical="center" wrapText="1"/>
    </xf>
    <xf numFmtId="172" fontId="3" fillId="0" borderId="10" xfId="6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172" fontId="5" fillId="0" borderId="10" xfId="60" applyNumberFormat="1" applyFont="1" applyFill="1" applyBorder="1" applyAlignment="1">
      <alignment vertical="top" wrapText="1"/>
    </xf>
    <xf numFmtId="172" fontId="3" fillId="0" borderId="11" xfId="60" applyNumberFormat="1" applyFont="1" applyFill="1" applyBorder="1" applyAlignment="1">
      <alignment vertical="top" wrapText="1"/>
    </xf>
    <xf numFmtId="172" fontId="3" fillId="0" borderId="10" xfId="60" applyNumberFormat="1" applyFont="1" applyFill="1" applyBorder="1" applyAlignment="1">
      <alignment horizontal="right" vertical="top" wrapText="1"/>
    </xf>
    <xf numFmtId="172" fontId="3" fillId="0" borderId="11" xfId="60" applyNumberFormat="1" applyFont="1" applyFill="1" applyBorder="1" applyAlignment="1">
      <alignment horizontal="right" vertical="top" wrapText="1"/>
    </xf>
    <xf numFmtId="172" fontId="12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172" fontId="5" fillId="0" borderId="11" xfId="60" applyNumberFormat="1" applyFont="1" applyFill="1" applyBorder="1" applyAlignment="1">
      <alignment vertical="top" wrapText="1"/>
    </xf>
    <xf numFmtId="172" fontId="3" fillId="0" borderId="10" xfId="60" applyNumberFormat="1" applyFont="1" applyFill="1" applyBorder="1" applyAlignment="1">
      <alignment horizontal="center" vertical="center" wrapText="1"/>
    </xf>
    <xf numFmtId="171" fontId="3" fillId="0" borderId="10" xfId="6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5" fillId="33" borderId="10" xfId="0" applyFont="1" applyFill="1" applyBorder="1" applyAlignment="1">
      <alignment vertical="top" wrapText="1"/>
    </xf>
    <xf numFmtId="172" fontId="12" fillId="33" borderId="10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2" fontId="5" fillId="33" borderId="10" xfId="6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172" fontId="3" fillId="0" borderId="11" xfId="6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72" fontId="3" fillId="33" borderId="10" xfId="60" applyNumberFormat="1" applyFont="1" applyFill="1" applyBorder="1" applyAlignment="1">
      <alignment horizontal="right" vertical="top" wrapText="1"/>
    </xf>
    <xf numFmtId="172" fontId="3" fillId="33" borderId="11" xfId="6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178" fontId="5" fillId="33" borderId="10" xfId="60" applyNumberFormat="1" applyFont="1" applyFill="1" applyBorder="1" applyAlignment="1">
      <alignment vertical="top" wrapText="1"/>
    </xf>
    <xf numFmtId="178" fontId="4" fillId="0" borderId="10" xfId="60" applyNumberFormat="1" applyFont="1" applyFill="1" applyBorder="1" applyAlignment="1">
      <alignment horizontal="right" vertical="center" wrapText="1"/>
    </xf>
    <xf numFmtId="178" fontId="4" fillId="33" borderId="10" xfId="60" applyNumberFormat="1" applyFont="1" applyFill="1" applyBorder="1" applyAlignment="1">
      <alignment horizontal="right" vertical="center" wrapText="1"/>
    </xf>
    <xf numFmtId="178" fontId="3" fillId="0" borderId="10" xfId="60" applyNumberFormat="1" applyFont="1" applyFill="1" applyBorder="1" applyAlignment="1">
      <alignment horizontal="right" vertical="top" wrapText="1"/>
    </xf>
    <xf numFmtId="178" fontId="3" fillId="33" borderId="10" xfId="60" applyNumberFormat="1" applyFont="1" applyFill="1" applyBorder="1" applyAlignment="1">
      <alignment horizontal="right" vertical="top" wrapText="1"/>
    </xf>
    <xf numFmtId="2" fontId="3" fillId="0" borderId="10" xfId="60" applyNumberFormat="1" applyFont="1" applyFill="1" applyBorder="1" applyAlignment="1">
      <alignment horizontal="right" vertical="top" wrapText="1"/>
    </xf>
    <xf numFmtId="2" fontId="3" fillId="33" borderId="10" xfId="60" applyNumberFormat="1" applyFont="1" applyFill="1" applyBorder="1" applyAlignment="1">
      <alignment horizontal="right" vertical="top" wrapText="1"/>
    </xf>
    <xf numFmtId="178" fontId="12" fillId="33" borderId="10" xfId="60" applyNumberFormat="1" applyFont="1" applyFill="1" applyBorder="1" applyAlignment="1">
      <alignment horizontal="right" vertical="center" wrapText="1"/>
    </xf>
    <xf numFmtId="172" fontId="12" fillId="33" borderId="10" xfId="60" applyNumberFormat="1" applyFont="1" applyFill="1" applyBorder="1" applyAlignment="1">
      <alignment horizontal="right" vertical="center" wrapText="1"/>
    </xf>
    <xf numFmtId="172" fontId="5" fillId="33" borderId="10" xfId="60" applyNumberFormat="1" applyFont="1" applyFill="1" applyBorder="1" applyAlignment="1">
      <alignment horizontal="right" vertical="top" wrapText="1"/>
    </xf>
    <xf numFmtId="178" fontId="5" fillId="33" borderId="10" xfId="60" applyNumberFormat="1" applyFont="1" applyFill="1" applyBorder="1" applyAlignment="1">
      <alignment horizontal="right" vertical="top" wrapText="1"/>
    </xf>
    <xf numFmtId="2" fontId="12" fillId="33" borderId="10" xfId="60" applyNumberFormat="1" applyFont="1" applyFill="1" applyBorder="1" applyAlignment="1">
      <alignment horizontal="right" vertical="center" wrapText="1"/>
    </xf>
    <xf numFmtId="2" fontId="5" fillId="33" borderId="10" xfId="60" applyNumberFormat="1" applyFont="1" applyFill="1" applyBorder="1" applyAlignment="1">
      <alignment horizontal="right" vertical="top" wrapText="1"/>
    </xf>
    <xf numFmtId="172" fontId="12" fillId="0" borderId="10" xfId="60" applyNumberFormat="1" applyFont="1" applyFill="1" applyBorder="1" applyAlignment="1">
      <alignment horizontal="right" vertical="center" wrapText="1"/>
    </xf>
    <xf numFmtId="172" fontId="5" fillId="0" borderId="10" xfId="60" applyNumberFormat="1" applyFont="1" applyFill="1" applyBorder="1" applyAlignment="1">
      <alignment horizontal="right" vertical="top" wrapText="1"/>
    </xf>
    <xf numFmtId="4" fontId="12" fillId="33" borderId="10" xfId="6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4" fontId="4" fillId="33" borderId="10" xfId="6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top" wrapText="1"/>
    </xf>
    <xf numFmtId="4" fontId="3" fillId="33" borderId="10" xfId="6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186" fontId="3" fillId="0" borderId="10" xfId="60" applyNumberFormat="1" applyFont="1" applyFill="1" applyBorder="1" applyAlignment="1">
      <alignment vertical="top" wrapText="1"/>
    </xf>
    <xf numFmtId="186" fontId="3" fillId="0" borderId="11" xfId="60" applyNumberFormat="1" applyFont="1" applyFill="1" applyBorder="1" applyAlignment="1">
      <alignment vertical="top" wrapText="1"/>
    </xf>
    <xf numFmtId="4" fontId="4" fillId="0" borderId="10" xfId="60" applyNumberFormat="1" applyFont="1" applyFill="1" applyBorder="1" applyAlignment="1">
      <alignment horizontal="right" vertical="top" wrapText="1"/>
    </xf>
    <xf numFmtId="4" fontId="4" fillId="0" borderId="10" xfId="60" applyNumberFormat="1" applyFont="1" applyFill="1" applyBorder="1" applyAlignment="1">
      <alignment vertical="top" wrapText="1"/>
    </xf>
    <xf numFmtId="4" fontId="3" fillId="0" borderId="10" xfId="60" applyNumberFormat="1" applyFont="1" applyFill="1" applyBorder="1" applyAlignment="1">
      <alignment vertical="top" wrapText="1"/>
    </xf>
    <xf numFmtId="4" fontId="3" fillId="0" borderId="14" xfId="6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4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78" fontId="3" fillId="33" borderId="10" xfId="60" applyNumberFormat="1" applyFont="1" applyFill="1" applyBorder="1" applyAlignment="1">
      <alignment vertical="top" wrapText="1"/>
    </xf>
    <xf numFmtId="178" fontId="4" fillId="0" borderId="10" xfId="60" applyNumberFormat="1" applyFont="1" applyFill="1" applyBorder="1" applyAlignment="1">
      <alignment vertical="top" wrapText="1"/>
    </xf>
    <xf numFmtId="178" fontId="3" fillId="0" borderId="10" xfId="60" applyNumberFormat="1" applyFont="1" applyFill="1" applyBorder="1" applyAlignment="1">
      <alignment vertical="top" wrapText="1"/>
    </xf>
    <xf numFmtId="178" fontId="5" fillId="0" borderId="10" xfId="60" applyNumberFormat="1" applyFont="1" applyFill="1" applyBorder="1" applyAlignment="1">
      <alignment vertical="top" wrapText="1"/>
    </xf>
    <xf numFmtId="178" fontId="12" fillId="0" borderId="10" xfId="60" applyNumberFormat="1" applyFont="1" applyFill="1" applyBorder="1" applyAlignment="1">
      <alignment horizontal="right" vertical="center" wrapText="1"/>
    </xf>
    <xf numFmtId="178" fontId="5" fillId="33" borderId="11" xfId="60" applyNumberFormat="1" applyFont="1" applyFill="1" applyBorder="1" applyAlignment="1">
      <alignment vertical="top" wrapText="1"/>
    </xf>
    <xf numFmtId="178" fontId="4" fillId="0" borderId="10" xfId="0" applyNumberFormat="1" applyFont="1" applyFill="1" applyBorder="1" applyAlignment="1">
      <alignment horizontal="right" vertical="center" wrapText="1"/>
    </xf>
    <xf numFmtId="178" fontId="4" fillId="33" borderId="10" xfId="0" applyNumberFormat="1" applyFont="1" applyFill="1" applyBorder="1" applyAlignment="1">
      <alignment horizontal="right" vertical="center" wrapText="1"/>
    </xf>
    <xf numFmtId="171" fontId="4" fillId="0" borderId="10" xfId="60" applyFont="1" applyFill="1" applyBorder="1" applyAlignment="1">
      <alignment horizontal="right" vertical="top" wrapText="1"/>
    </xf>
    <xf numFmtId="171" fontId="4" fillId="33" borderId="10" xfId="60" applyFont="1" applyFill="1" applyBorder="1" applyAlignment="1">
      <alignment horizontal="right" vertical="top" wrapText="1"/>
    </xf>
    <xf numFmtId="178" fontId="4" fillId="0" borderId="10" xfId="0" applyNumberFormat="1" applyFont="1" applyFill="1" applyBorder="1" applyAlignment="1">
      <alignment vertical="top" wrapText="1"/>
    </xf>
    <xf numFmtId="172" fontId="3" fillId="33" borderId="10" xfId="60" applyNumberFormat="1" applyFont="1" applyFill="1" applyBorder="1" applyAlignment="1">
      <alignment horizontal="right" vertical="center" wrapText="1"/>
    </xf>
    <xf numFmtId="4" fontId="3" fillId="33" borderId="10" xfId="6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right"/>
    </xf>
    <xf numFmtId="0" fontId="3" fillId="33" borderId="15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top" wrapText="1"/>
    </xf>
    <xf numFmtId="4" fontId="4" fillId="33" borderId="10" xfId="60" applyNumberFormat="1" applyFont="1" applyFill="1" applyBorder="1" applyAlignment="1">
      <alignment horizontal="right" vertical="top" wrapText="1"/>
    </xf>
    <xf numFmtId="4" fontId="3" fillId="33" borderId="14" xfId="60" applyNumberFormat="1" applyFont="1" applyFill="1" applyBorder="1" applyAlignment="1">
      <alignment horizontal="right" vertical="top" wrapText="1"/>
    </xf>
    <xf numFmtId="178" fontId="4" fillId="33" borderId="10" xfId="60" applyNumberFormat="1" applyFont="1" applyFill="1" applyBorder="1" applyAlignment="1">
      <alignment horizontal="right" vertical="top" wrapText="1"/>
    </xf>
    <xf numFmtId="172" fontId="4" fillId="33" borderId="10" xfId="60" applyNumberFormat="1" applyFont="1" applyFill="1" applyBorder="1" applyAlignment="1">
      <alignment horizontal="right" vertical="center" wrapText="1"/>
    </xf>
    <xf numFmtId="172" fontId="5" fillId="33" borderId="11" xfId="60" applyNumberFormat="1" applyFont="1" applyFill="1" applyBorder="1" applyAlignment="1">
      <alignment horizontal="right" vertical="top" wrapText="1"/>
    </xf>
    <xf numFmtId="178" fontId="5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186" fontId="3" fillId="33" borderId="11" xfId="60" applyNumberFormat="1" applyFont="1" applyFill="1" applyBorder="1" applyAlignment="1">
      <alignment horizontal="right" vertical="top" wrapText="1"/>
    </xf>
    <xf numFmtId="171" fontId="3" fillId="33" borderId="10" xfId="60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3" fillId="33" borderId="10" xfId="0" applyNumberFormat="1" applyFont="1" applyFill="1" applyBorder="1" applyAlignment="1">
      <alignment horizontal="right" vertical="top" wrapText="1"/>
    </xf>
    <xf numFmtId="177" fontId="4" fillId="33" borderId="10" xfId="0" applyNumberFormat="1" applyFont="1" applyFill="1" applyBorder="1" applyAlignment="1">
      <alignment horizontal="right" vertical="top" wrapText="1"/>
    </xf>
    <xf numFmtId="178" fontId="4" fillId="33" borderId="10" xfId="0" applyNumberFormat="1" applyFont="1" applyFill="1" applyBorder="1" applyAlignment="1">
      <alignment horizontal="right" vertical="top" wrapText="1"/>
    </xf>
    <xf numFmtId="177" fontId="5" fillId="33" borderId="10" xfId="0" applyNumberFormat="1" applyFont="1" applyFill="1" applyBorder="1" applyAlignment="1">
      <alignment horizontal="right" vertical="top" wrapText="1"/>
    </xf>
    <xf numFmtId="177" fontId="3" fillId="33" borderId="10" xfId="0" applyNumberFormat="1" applyFont="1" applyFill="1" applyBorder="1" applyAlignment="1">
      <alignment horizontal="right" vertical="top" wrapText="1"/>
    </xf>
    <xf numFmtId="172" fontId="3" fillId="0" borderId="10" xfId="60" applyNumberFormat="1" applyFont="1" applyFill="1" applyBorder="1" applyAlignment="1">
      <alignment horizontal="right" vertical="center" wrapText="1"/>
    </xf>
    <xf numFmtId="4" fontId="3" fillId="33" borderId="11" xfId="60" applyNumberFormat="1" applyFont="1" applyFill="1" applyBorder="1" applyAlignment="1">
      <alignment horizontal="right" vertical="center" wrapText="1"/>
    </xf>
    <xf numFmtId="172" fontId="3" fillId="33" borderId="11" xfId="6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4" fontId="3" fillId="0" borderId="14" xfId="60" applyNumberFormat="1" applyFont="1" applyFill="1" applyBorder="1" applyAlignment="1">
      <alignment horizontal="right" vertical="top" wrapText="1"/>
    </xf>
    <xf numFmtId="178" fontId="4" fillId="0" borderId="10" xfId="60" applyNumberFormat="1" applyFont="1" applyFill="1" applyBorder="1" applyAlignment="1">
      <alignment horizontal="right" vertical="top" wrapText="1"/>
    </xf>
    <xf numFmtId="172" fontId="4" fillId="0" borderId="10" xfId="60" applyNumberFormat="1" applyFont="1" applyFill="1" applyBorder="1" applyAlignment="1">
      <alignment horizontal="right" vertical="center" wrapText="1"/>
    </xf>
    <xf numFmtId="172" fontId="5" fillId="0" borderId="11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171" fontId="3" fillId="0" borderId="10" xfId="60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8" fontId="4" fillId="0" borderId="10" xfId="0" applyNumberFormat="1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 horizontal="right" vertical="top" wrapText="1"/>
    </xf>
    <xf numFmtId="172" fontId="3" fillId="0" borderId="11" xfId="6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50" fillId="0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178" fontId="3" fillId="0" borderId="11" xfId="60" applyNumberFormat="1" applyFont="1" applyFill="1" applyBorder="1" applyAlignment="1">
      <alignment horizontal="right" vertical="top" wrapText="1"/>
    </xf>
    <xf numFmtId="172" fontId="5" fillId="33" borderId="10" xfId="60" applyNumberFormat="1" applyFont="1" applyFill="1" applyBorder="1" applyAlignment="1">
      <alignment horizontal="center" vertical="top" wrapText="1"/>
    </xf>
    <xf numFmtId="173" fontId="3" fillId="0" borderId="10" xfId="60" applyNumberFormat="1" applyFont="1" applyFill="1" applyBorder="1" applyAlignment="1">
      <alignment vertical="top" wrapText="1"/>
    </xf>
    <xf numFmtId="173" fontId="3" fillId="0" borderId="11" xfId="60" applyNumberFormat="1" applyFont="1" applyFill="1" applyBorder="1" applyAlignment="1">
      <alignment vertical="top" wrapText="1"/>
    </xf>
    <xf numFmtId="172" fontId="5" fillId="33" borderId="11" xfId="60" applyNumberFormat="1" applyFont="1" applyFill="1" applyBorder="1" applyAlignment="1">
      <alignment vertical="top" wrapText="1"/>
    </xf>
    <xf numFmtId="172" fontId="3" fillId="33" borderId="10" xfId="60" applyNumberFormat="1" applyFont="1" applyFill="1" applyBorder="1" applyAlignment="1">
      <alignment vertical="top" wrapText="1"/>
    </xf>
    <xf numFmtId="172" fontId="3" fillId="33" borderId="11" xfId="60" applyNumberFormat="1" applyFont="1" applyFill="1" applyBorder="1" applyAlignment="1">
      <alignment vertical="top" wrapText="1"/>
    </xf>
    <xf numFmtId="2" fontId="3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vertical="center" wrapText="1"/>
    </xf>
    <xf numFmtId="2" fontId="3" fillId="33" borderId="10" xfId="60" applyNumberFormat="1" applyFont="1" applyFill="1" applyBorder="1" applyAlignment="1">
      <alignment horizontal="right" vertical="center" wrapText="1"/>
    </xf>
    <xf numFmtId="2" fontId="4" fillId="33" borderId="10" xfId="60" applyNumberFormat="1" applyFont="1" applyFill="1" applyBorder="1" applyAlignment="1">
      <alignment horizontal="right" vertical="center" wrapText="1"/>
    </xf>
    <xf numFmtId="2" fontId="4" fillId="0" borderId="10" xfId="60" applyNumberFormat="1" applyFont="1" applyFill="1" applyBorder="1" applyAlignment="1">
      <alignment horizontal="right" vertical="center" wrapText="1"/>
    </xf>
    <xf numFmtId="2" fontId="3" fillId="0" borderId="10" xfId="60" applyNumberFormat="1" applyFont="1" applyFill="1" applyBorder="1" applyAlignment="1">
      <alignment vertical="top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12" fillId="0" borderId="10" xfId="60" applyNumberFormat="1" applyFont="1" applyFill="1" applyBorder="1" applyAlignment="1">
      <alignment horizontal="right" vertical="center" wrapText="1"/>
    </xf>
    <xf numFmtId="2" fontId="3" fillId="0" borderId="10" xfId="60" applyNumberFormat="1" applyFont="1" applyFill="1" applyBorder="1" applyAlignment="1">
      <alignment horizontal="right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178" fontId="3" fillId="33" borderId="10" xfId="60" applyNumberFormat="1" applyFont="1" applyFill="1" applyBorder="1" applyAlignment="1">
      <alignment horizontal="right" vertical="center" wrapText="1"/>
    </xf>
    <xf numFmtId="178" fontId="3" fillId="0" borderId="10" xfId="60" applyNumberFormat="1" applyFont="1" applyFill="1" applyBorder="1" applyAlignment="1">
      <alignment horizontal="right" vertical="center" wrapText="1"/>
    </xf>
    <xf numFmtId="172" fontId="0" fillId="0" borderId="10" xfId="0" applyNumberFormat="1" applyFill="1" applyBorder="1" applyAlignment="1">
      <alignment horizontal="right"/>
    </xf>
    <xf numFmtId="172" fontId="3" fillId="0" borderId="12" xfId="60" applyNumberFormat="1" applyFont="1" applyFill="1" applyBorder="1" applyAlignment="1">
      <alignment horizontal="right" vertical="center" wrapText="1"/>
    </xf>
    <xf numFmtId="172" fontId="3" fillId="33" borderId="12" xfId="60" applyNumberFormat="1" applyFont="1" applyFill="1" applyBorder="1" applyAlignment="1">
      <alignment horizontal="right" vertical="center" wrapText="1"/>
    </xf>
    <xf numFmtId="172" fontId="0" fillId="33" borderId="0" xfId="0" applyNumberFormat="1" applyFill="1" applyAlignment="1">
      <alignment horizontal="right"/>
    </xf>
    <xf numFmtId="0" fontId="5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3" fillId="33" borderId="10" xfId="6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172" fontId="3" fillId="33" borderId="10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4" fontId="4" fillId="33" borderId="0" xfId="6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172" fontId="5" fillId="0" borderId="13" xfId="60" applyNumberFormat="1" applyFont="1" applyFill="1" applyBorder="1" applyAlignment="1">
      <alignment horizontal="right" vertical="top" wrapText="1"/>
    </xf>
    <xf numFmtId="172" fontId="5" fillId="0" borderId="17" xfId="60" applyNumberFormat="1" applyFont="1" applyFill="1" applyBorder="1" applyAlignment="1">
      <alignment horizontal="right" vertical="top" wrapText="1"/>
    </xf>
    <xf numFmtId="172" fontId="4" fillId="0" borderId="11" xfId="60" applyNumberFormat="1" applyFont="1" applyFill="1" applyBorder="1" applyAlignment="1">
      <alignment horizontal="right" vertical="center" wrapText="1"/>
    </xf>
    <xf numFmtId="178" fontId="3" fillId="33" borderId="11" xfId="60" applyNumberFormat="1" applyFont="1" applyFill="1" applyBorder="1" applyAlignment="1">
      <alignment horizontal="right" vertical="top" wrapText="1"/>
    </xf>
    <xf numFmtId="178" fontId="3" fillId="0" borderId="12" xfId="60" applyNumberFormat="1" applyFont="1" applyFill="1" applyBorder="1" applyAlignment="1">
      <alignment horizontal="right" vertical="center" wrapText="1"/>
    </xf>
    <xf numFmtId="181" fontId="12" fillId="33" borderId="10" xfId="60" applyNumberFormat="1" applyFont="1" applyFill="1" applyBorder="1" applyAlignment="1">
      <alignment horizontal="right" vertical="center" wrapText="1"/>
    </xf>
    <xf numFmtId="181" fontId="5" fillId="33" borderId="10" xfId="60" applyNumberFormat="1" applyFont="1" applyFill="1" applyBorder="1" applyAlignment="1">
      <alignment horizontal="right" vertical="top" wrapText="1"/>
    </xf>
    <xf numFmtId="181" fontId="12" fillId="33" borderId="10" xfId="60" applyNumberFormat="1" applyFont="1" applyFill="1" applyBorder="1" applyAlignment="1">
      <alignment horizontal="center" vertical="center" wrapText="1"/>
    </xf>
    <xf numFmtId="181" fontId="12" fillId="33" borderId="13" xfId="60" applyNumberFormat="1" applyFont="1" applyFill="1" applyBorder="1" applyAlignment="1">
      <alignment horizontal="right" vertical="center" wrapText="1"/>
    </xf>
    <xf numFmtId="181" fontId="5" fillId="33" borderId="10" xfId="60" applyNumberFormat="1" applyFont="1" applyFill="1" applyBorder="1" applyAlignment="1">
      <alignment vertical="top" wrapText="1"/>
    </xf>
    <xf numFmtId="181" fontId="5" fillId="33" borderId="13" xfId="60" applyNumberFormat="1" applyFont="1" applyFill="1" applyBorder="1" applyAlignment="1">
      <alignment horizontal="right" vertical="top" wrapText="1"/>
    </xf>
    <xf numFmtId="2" fontId="50" fillId="0" borderId="10" xfId="0" applyNumberFormat="1" applyFont="1" applyBorder="1" applyAlignment="1">
      <alignment horizontal="center"/>
    </xf>
    <xf numFmtId="4" fontId="5" fillId="33" borderId="10" xfId="60" applyNumberFormat="1" applyFont="1" applyFill="1" applyBorder="1" applyAlignment="1">
      <alignment horizontal="right" vertical="top" wrapText="1"/>
    </xf>
    <xf numFmtId="4" fontId="12" fillId="0" borderId="10" xfId="60" applyNumberFormat="1" applyFont="1" applyFill="1" applyBorder="1" applyAlignment="1">
      <alignment horizontal="right" vertical="center" wrapText="1"/>
    </xf>
    <xf numFmtId="4" fontId="5" fillId="0" borderId="10" xfId="60" applyNumberFormat="1" applyFont="1" applyFill="1" applyBorder="1" applyAlignment="1">
      <alignment horizontal="right" vertical="top" wrapText="1"/>
    </xf>
    <xf numFmtId="171" fontId="12" fillId="33" borderId="10" xfId="60" applyNumberFormat="1" applyFont="1" applyFill="1" applyBorder="1" applyAlignment="1">
      <alignment horizontal="right" vertical="center" wrapText="1"/>
    </xf>
    <xf numFmtId="172" fontId="0" fillId="33" borderId="10" xfId="0" applyNumberForma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top" wrapText="1"/>
    </xf>
    <xf numFmtId="172" fontId="4" fillId="33" borderId="10" xfId="60" applyNumberFormat="1" applyFont="1" applyFill="1" applyBorder="1" applyAlignment="1">
      <alignment horizontal="center" vertical="center" wrapText="1"/>
    </xf>
    <xf numFmtId="172" fontId="4" fillId="33" borderId="12" xfId="60" applyNumberFormat="1" applyFont="1" applyFill="1" applyBorder="1" applyAlignment="1">
      <alignment horizontal="righ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="90" zoomScaleNormal="90" zoomScalePageLayoutView="0" workbookViewId="0" topLeftCell="C1">
      <selection activeCell="D4" sqref="D4:Q4"/>
    </sheetView>
  </sheetViews>
  <sheetFormatPr defaultColWidth="9.140625" defaultRowHeight="15"/>
  <cols>
    <col min="1" max="1" width="6.57421875" style="0" customWidth="1"/>
    <col min="2" max="2" width="63.140625" style="0" customWidth="1"/>
    <col min="3" max="3" width="13.8515625" style="0" customWidth="1"/>
    <col min="4" max="4" width="10.28125" style="0" customWidth="1"/>
    <col min="5" max="5" width="9.7109375" style="0" customWidth="1"/>
    <col min="6" max="6" width="9.140625" style="3" customWidth="1"/>
    <col min="7" max="7" width="9.28125" style="0" customWidth="1"/>
    <col min="8" max="8" width="9.8515625" style="3" customWidth="1"/>
    <col min="9" max="9" width="10.28125" style="3" customWidth="1"/>
    <col min="10" max="16" width="10.28125" style="0" customWidth="1"/>
    <col min="17" max="17" width="17.28125" style="0" customWidth="1"/>
  </cols>
  <sheetData>
    <row r="1" spans="1:17" s="6" customFormat="1" ht="15" customHeight="1">
      <c r="A1" s="8"/>
      <c r="B1" s="8"/>
      <c r="C1" s="8"/>
      <c r="D1" s="281" t="s">
        <v>445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7" s="6" customFormat="1" ht="12.75">
      <c r="A2" s="8"/>
      <c r="B2" s="8"/>
      <c r="C2" s="8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s="6" customFormat="1" ht="12.75">
      <c r="A3" s="8"/>
      <c r="B3" s="8"/>
      <c r="C3" s="8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17"/>
    </row>
    <row r="4" spans="1:17" s="6" customFormat="1" ht="12.75">
      <c r="A4" s="8"/>
      <c r="B4" s="8"/>
      <c r="C4" s="8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</row>
    <row r="5" spans="1:17" s="9" customFormat="1" ht="15">
      <c r="A5" s="287" t="s">
        <v>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" customFormat="1" ht="15">
      <c r="A6" s="291" t="s">
        <v>444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</row>
    <row r="7" spans="1:9" s="9" customFormat="1" ht="15">
      <c r="A7" s="10"/>
      <c r="F7" s="2"/>
      <c r="H7" s="2"/>
      <c r="I7" s="2"/>
    </row>
    <row r="8" spans="1:17" s="9" customFormat="1" ht="15" customHeight="1">
      <c r="A8" s="280" t="s">
        <v>8</v>
      </c>
      <c r="B8" s="280" t="s">
        <v>9</v>
      </c>
      <c r="C8" s="280" t="s">
        <v>10</v>
      </c>
      <c r="D8" s="283" t="s">
        <v>11</v>
      </c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5"/>
      <c r="Q8" s="280" t="s">
        <v>12</v>
      </c>
    </row>
    <row r="9" spans="1:17" s="9" customFormat="1" ht="15">
      <c r="A9" s="280"/>
      <c r="B9" s="280"/>
      <c r="C9" s="280"/>
      <c r="D9" s="7">
        <v>2015</v>
      </c>
      <c r="E9" s="7">
        <v>2016</v>
      </c>
      <c r="F9" s="16">
        <v>2017</v>
      </c>
      <c r="G9" s="7">
        <v>2018</v>
      </c>
      <c r="H9" s="16">
        <v>2019</v>
      </c>
      <c r="I9" s="16">
        <v>2020</v>
      </c>
      <c r="J9" s="7">
        <v>2021</v>
      </c>
      <c r="K9" s="7">
        <v>2022</v>
      </c>
      <c r="L9" s="7">
        <v>2023</v>
      </c>
      <c r="M9" s="7">
        <v>2024</v>
      </c>
      <c r="N9" s="7">
        <v>2025</v>
      </c>
      <c r="O9" s="7">
        <v>2026</v>
      </c>
      <c r="P9" s="7">
        <v>2027</v>
      </c>
      <c r="Q9" s="280"/>
    </row>
    <row r="10" spans="1:17" s="9" customFormat="1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5">
        <v>6</v>
      </c>
      <c r="G10" s="11">
        <v>7</v>
      </c>
      <c r="H10" s="15">
        <v>8</v>
      </c>
      <c r="I10" s="15">
        <v>9</v>
      </c>
      <c r="J10" s="110" t="s">
        <v>173</v>
      </c>
      <c r="K10" s="110" t="s">
        <v>265</v>
      </c>
      <c r="L10" s="110" t="s">
        <v>384</v>
      </c>
      <c r="M10" s="110" t="s">
        <v>385</v>
      </c>
      <c r="N10" s="110" t="s">
        <v>441</v>
      </c>
      <c r="O10" s="110" t="s">
        <v>442</v>
      </c>
      <c r="P10" s="110" t="s">
        <v>443</v>
      </c>
      <c r="Q10" s="11">
        <v>10</v>
      </c>
    </row>
    <row r="11" spans="1:17" s="9" customFormat="1" ht="15" customHeight="1">
      <c r="A11" s="11">
        <v>1</v>
      </c>
      <c r="B11" s="288" t="s">
        <v>268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90"/>
    </row>
    <row r="12" spans="1:17" s="4" customFormat="1" ht="30.75" customHeight="1">
      <c r="A12" s="11">
        <v>2</v>
      </c>
      <c r="B12" s="257" t="s">
        <v>13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</row>
    <row r="13" spans="1:17" s="4" customFormat="1" ht="33.75" customHeight="1">
      <c r="A13" s="11">
        <v>3</v>
      </c>
      <c r="B13" s="257" t="s">
        <v>32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</row>
    <row r="14" spans="1:17" s="4" customFormat="1" ht="46.5">
      <c r="A14" s="11">
        <v>4</v>
      </c>
      <c r="B14" s="5" t="s">
        <v>14</v>
      </c>
      <c r="C14" s="12" t="s">
        <v>15</v>
      </c>
      <c r="D14" s="12" t="s">
        <v>16</v>
      </c>
      <c r="E14" s="12" t="s">
        <v>16</v>
      </c>
      <c r="F14" s="12" t="s">
        <v>16</v>
      </c>
      <c r="G14" s="12" t="s">
        <v>16</v>
      </c>
      <c r="H14" s="15" t="s">
        <v>16</v>
      </c>
      <c r="I14" s="15" t="s">
        <v>16</v>
      </c>
      <c r="J14" s="12" t="s">
        <v>16</v>
      </c>
      <c r="K14" s="12" t="s">
        <v>16</v>
      </c>
      <c r="L14" s="12" t="s">
        <v>16</v>
      </c>
      <c r="M14" s="12" t="s">
        <v>16</v>
      </c>
      <c r="N14" s="12" t="s">
        <v>16</v>
      </c>
      <c r="O14" s="12" t="s">
        <v>16</v>
      </c>
      <c r="P14" s="12" t="s">
        <v>16</v>
      </c>
      <c r="Q14" s="12"/>
    </row>
    <row r="15" spans="1:17" s="4" customFormat="1" ht="15" customHeight="1">
      <c r="A15" s="11">
        <v>5</v>
      </c>
      <c r="B15" s="258" t="s">
        <v>17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60"/>
    </row>
    <row r="16" spans="1:17" s="4" customFormat="1" ht="30.75">
      <c r="A16" s="11">
        <v>6</v>
      </c>
      <c r="B16" s="1" t="s">
        <v>18</v>
      </c>
      <c r="C16" s="12" t="s">
        <v>266</v>
      </c>
      <c r="D16" s="12"/>
      <c r="E16" s="12"/>
      <c r="F16" s="15"/>
      <c r="G16" s="12"/>
      <c r="H16" s="15"/>
      <c r="I16" s="15"/>
      <c r="J16" s="12"/>
      <c r="K16" s="12"/>
      <c r="L16" s="12">
        <v>350</v>
      </c>
      <c r="M16" s="12"/>
      <c r="N16" s="12"/>
      <c r="O16" s="12"/>
      <c r="P16" s="12"/>
      <c r="Q16" s="12"/>
    </row>
    <row r="17" spans="1:17" s="4" customFormat="1" ht="15">
      <c r="A17" s="110" t="s">
        <v>291</v>
      </c>
      <c r="B17" s="256" t="s">
        <v>288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s="4" customFormat="1" ht="15" customHeight="1">
      <c r="A18" s="110" t="s">
        <v>292</v>
      </c>
      <c r="B18" s="263" t="s">
        <v>289</v>
      </c>
      <c r="C18" s="264"/>
      <c r="D18" s="264"/>
      <c r="E18" s="264"/>
      <c r="F18" s="264"/>
      <c r="G18" s="264"/>
      <c r="H18" s="264"/>
      <c r="I18" s="264"/>
      <c r="J18" s="264"/>
      <c r="K18" s="277"/>
      <c r="L18" s="221"/>
      <c r="M18" s="221"/>
      <c r="N18" s="246"/>
      <c r="O18" s="246"/>
      <c r="P18" s="246"/>
      <c r="Q18" s="12"/>
    </row>
    <row r="19" spans="1:17" s="4" customFormat="1" ht="33" customHeight="1">
      <c r="A19" s="110" t="s">
        <v>293</v>
      </c>
      <c r="B19" s="278" t="s">
        <v>348</v>
      </c>
      <c r="C19" s="279"/>
      <c r="D19" s="279"/>
      <c r="E19" s="279"/>
      <c r="F19" s="279"/>
      <c r="G19" s="279"/>
      <c r="H19" s="279"/>
      <c r="I19" s="279"/>
      <c r="J19" s="279"/>
      <c r="K19" s="277"/>
      <c r="L19" s="221"/>
      <c r="M19" s="221"/>
      <c r="N19" s="246"/>
      <c r="O19" s="246"/>
      <c r="P19" s="246"/>
      <c r="Q19" s="12"/>
    </row>
    <row r="20" spans="1:17" s="4" customFormat="1" ht="46.5">
      <c r="A20" s="110" t="s">
        <v>294</v>
      </c>
      <c r="B20" s="1" t="s">
        <v>347</v>
      </c>
      <c r="C20" s="12" t="s">
        <v>15</v>
      </c>
      <c r="D20" s="12" t="s">
        <v>19</v>
      </c>
      <c r="E20" s="12"/>
      <c r="F20" s="12"/>
      <c r="G20" s="12"/>
      <c r="H20" s="15"/>
      <c r="I20" s="15"/>
      <c r="J20" s="12"/>
      <c r="K20" s="12"/>
      <c r="L20" s="12"/>
      <c r="M20" s="12"/>
      <c r="N20" s="12"/>
      <c r="O20" s="12"/>
      <c r="P20" s="12"/>
      <c r="Q20" s="12"/>
    </row>
    <row r="21" spans="1:17" s="4" customFormat="1" ht="15" customHeight="1">
      <c r="A21" s="110" t="s">
        <v>295</v>
      </c>
      <c r="B21" s="278" t="s">
        <v>350</v>
      </c>
      <c r="C21" s="279"/>
      <c r="D21" s="279"/>
      <c r="E21" s="279"/>
      <c r="F21" s="279"/>
      <c r="G21" s="279"/>
      <c r="H21" s="279"/>
      <c r="I21" s="279"/>
      <c r="J21" s="279"/>
      <c r="K21" s="277"/>
      <c r="L21" s="221"/>
      <c r="M21" s="221"/>
      <c r="N21" s="246"/>
      <c r="O21" s="246"/>
      <c r="P21" s="246"/>
      <c r="Q21" s="12"/>
    </row>
    <row r="22" spans="1:17" s="4" customFormat="1" ht="46.5">
      <c r="A22" s="110" t="s">
        <v>346</v>
      </c>
      <c r="B22" s="1" t="s">
        <v>349</v>
      </c>
      <c r="C22" s="12" t="s">
        <v>15</v>
      </c>
      <c r="D22" s="12" t="s">
        <v>19</v>
      </c>
      <c r="E22" s="12" t="s">
        <v>19</v>
      </c>
      <c r="F22" s="12" t="s">
        <v>19</v>
      </c>
      <c r="G22" s="12" t="s">
        <v>19</v>
      </c>
      <c r="H22" s="15" t="s">
        <v>19</v>
      </c>
      <c r="I22" s="15" t="s">
        <v>19</v>
      </c>
      <c r="J22" s="15" t="s">
        <v>19</v>
      </c>
      <c r="K22" s="12" t="s">
        <v>16</v>
      </c>
      <c r="L22" s="12" t="s">
        <v>16</v>
      </c>
      <c r="M22" s="12" t="s">
        <v>16</v>
      </c>
      <c r="N22" s="12" t="s">
        <v>16</v>
      </c>
      <c r="O22" s="12" t="s">
        <v>16</v>
      </c>
      <c r="P22" s="12" t="s">
        <v>16</v>
      </c>
      <c r="Q22" s="12"/>
    </row>
    <row r="23" spans="1:17" s="4" customFormat="1" ht="15">
      <c r="A23" s="110" t="s">
        <v>351</v>
      </c>
      <c r="B23" s="1" t="s">
        <v>290</v>
      </c>
      <c r="C23" s="12" t="s">
        <v>20</v>
      </c>
      <c r="D23" s="12">
        <v>60</v>
      </c>
      <c r="E23" s="12">
        <v>65</v>
      </c>
      <c r="F23" s="15">
        <v>70</v>
      </c>
      <c r="G23" s="12">
        <v>75</v>
      </c>
      <c r="H23" s="15">
        <v>80</v>
      </c>
      <c r="I23" s="15">
        <v>85</v>
      </c>
      <c r="J23" s="12">
        <v>90</v>
      </c>
      <c r="K23" s="12">
        <v>95</v>
      </c>
      <c r="L23" s="12">
        <v>95</v>
      </c>
      <c r="M23" s="12">
        <v>95</v>
      </c>
      <c r="N23" s="12">
        <v>95</v>
      </c>
      <c r="O23" s="12">
        <v>95</v>
      </c>
      <c r="P23" s="12">
        <v>95</v>
      </c>
      <c r="Q23" s="12"/>
    </row>
    <row r="24" spans="1:17" s="4" customFormat="1" ht="32.25" customHeight="1">
      <c r="A24" s="11">
        <v>7</v>
      </c>
      <c r="B24" s="256" t="s">
        <v>269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</row>
    <row r="25" spans="1:17" s="4" customFormat="1" ht="31.5" customHeight="1">
      <c r="A25" s="11">
        <v>8</v>
      </c>
      <c r="B25" s="257" t="s">
        <v>21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</row>
    <row r="26" spans="1:17" s="4" customFormat="1" ht="15" customHeight="1">
      <c r="A26" s="11">
        <v>9</v>
      </c>
      <c r="B26" s="257" t="s">
        <v>22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</row>
    <row r="27" spans="1:17" s="4" customFormat="1" ht="46.5">
      <c r="A27" s="11">
        <v>10</v>
      </c>
      <c r="B27" s="1" t="s">
        <v>23</v>
      </c>
      <c r="C27" s="12" t="s">
        <v>20</v>
      </c>
      <c r="D27" s="1"/>
      <c r="E27" s="12"/>
      <c r="F27" s="15"/>
      <c r="G27" s="12"/>
      <c r="H27" s="16"/>
      <c r="I27" s="15"/>
      <c r="J27" s="12">
        <v>90</v>
      </c>
      <c r="K27" s="12">
        <v>90</v>
      </c>
      <c r="L27" s="12">
        <v>90</v>
      </c>
      <c r="M27" s="12">
        <v>90</v>
      </c>
      <c r="N27" s="12">
        <v>90</v>
      </c>
      <c r="O27" s="12">
        <v>90</v>
      </c>
      <c r="P27" s="12">
        <v>90</v>
      </c>
      <c r="Q27" s="1"/>
    </row>
    <row r="28" spans="1:17" s="4" customFormat="1" ht="46.5">
      <c r="A28" s="11">
        <v>11</v>
      </c>
      <c r="B28" s="1" t="s">
        <v>30</v>
      </c>
      <c r="C28" s="12" t="s">
        <v>15</v>
      </c>
      <c r="D28" s="12" t="s">
        <v>19</v>
      </c>
      <c r="E28" s="12" t="s">
        <v>16</v>
      </c>
      <c r="F28" s="12" t="s">
        <v>16</v>
      </c>
      <c r="G28" s="12" t="s">
        <v>16</v>
      </c>
      <c r="H28" s="15" t="s">
        <v>16</v>
      </c>
      <c r="I28" s="15" t="s">
        <v>16</v>
      </c>
      <c r="J28" s="12" t="s">
        <v>16</v>
      </c>
      <c r="K28" s="12" t="s">
        <v>16</v>
      </c>
      <c r="L28" s="12" t="s">
        <v>16</v>
      </c>
      <c r="M28" s="12" t="s">
        <v>16</v>
      </c>
      <c r="N28" s="12" t="s">
        <v>16</v>
      </c>
      <c r="O28" s="12" t="s">
        <v>16</v>
      </c>
      <c r="P28" s="12" t="s">
        <v>16</v>
      </c>
      <c r="Q28" s="1"/>
    </row>
    <row r="29" spans="1:17" s="4" customFormat="1" ht="30.75">
      <c r="A29" s="11">
        <v>12</v>
      </c>
      <c r="B29" s="1" t="s">
        <v>208</v>
      </c>
      <c r="C29" s="12" t="s">
        <v>24</v>
      </c>
      <c r="D29" s="12"/>
      <c r="E29" s="12"/>
      <c r="F29" s="15"/>
      <c r="G29" s="12"/>
      <c r="H29" s="15"/>
      <c r="I29" s="15"/>
      <c r="J29" s="12">
        <v>7000</v>
      </c>
      <c r="K29" s="12">
        <v>7000</v>
      </c>
      <c r="L29" s="12">
        <v>7000</v>
      </c>
      <c r="M29" s="12">
        <v>7000</v>
      </c>
      <c r="N29" s="12">
        <v>7000</v>
      </c>
      <c r="O29" s="12">
        <v>7000</v>
      </c>
      <c r="P29" s="12">
        <v>7000</v>
      </c>
      <c r="Q29" s="1"/>
    </row>
    <row r="30" spans="1:17" s="4" customFormat="1" ht="15">
      <c r="A30" s="110" t="s">
        <v>206</v>
      </c>
      <c r="B30" s="1" t="s">
        <v>209</v>
      </c>
      <c r="C30" s="12" t="s">
        <v>28</v>
      </c>
      <c r="D30" s="12"/>
      <c r="E30" s="12"/>
      <c r="F30" s="15"/>
      <c r="G30" s="12"/>
      <c r="H30" s="15"/>
      <c r="I30" s="15"/>
      <c r="J30" s="12">
        <v>3.28</v>
      </c>
      <c r="K30" s="12"/>
      <c r="L30" s="12"/>
      <c r="M30" s="12"/>
      <c r="N30" s="12"/>
      <c r="O30" s="12"/>
      <c r="P30" s="12"/>
      <c r="Q30" s="1"/>
    </row>
    <row r="31" spans="1:17" s="4" customFormat="1" ht="30.75">
      <c r="A31" s="110" t="s">
        <v>207</v>
      </c>
      <c r="B31" s="1" t="s">
        <v>210</v>
      </c>
      <c r="C31" s="12" t="s">
        <v>211</v>
      </c>
      <c r="D31" s="12"/>
      <c r="E31" s="12"/>
      <c r="F31" s="15"/>
      <c r="G31" s="12"/>
      <c r="H31" s="15"/>
      <c r="I31" s="15"/>
      <c r="J31" s="12">
        <v>1160</v>
      </c>
      <c r="K31" s="12"/>
      <c r="L31" s="12"/>
      <c r="M31" s="12"/>
      <c r="N31" s="12"/>
      <c r="O31" s="12"/>
      <c r="P31" s="12"/>
      <c r="Q31" s="1"/>
    </row>
    <row r="32" spans="1:17" s="4" customFormat="1" ht="19.5" customHeight="1">
      <c r="A32" s="110" t="s">
        <v>308</v>
      </c>
      <c r="B32" s="256" t="s">
        <v>307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</row>
    <row r="33" spans="1:17" s="4" customFormat="1" ht="15" customHeight="1">
      <c r="A33" s="110" t="s">
        <v>309</v>
      </c>
      <c r="B33" s="257" t="s">
        <v>313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</row>
    <row r="34" spans="1:17" s="4" customFormat="1" ht="15">
      <c r="A34" s="110" t="s">
        <v>310</v>
      </c>
      <c r="B34" s="257" t="s">
        <v>314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</row>
    <row r="35" spans="1:17" s="4" customFormat="1" ht="46.5">
      <c r="A35" s="110" t="s">
        <v>311</v>
      </c>
      <c r="B35" s="1" t="s">
        <v>399</v>
      </c>
      <c r="C35" s="12" t="s">
        <v>15</v>
      </c>
      <c r="D35" s="1"/>
      <c r="E35" s="12"/>
      <c r="F35" s="15"/>
      <c r="G35" s="12"/>
      <c r="H35" s="15"/>
      <c r="I35" s="15" t="s">
        <v>16</v>
      </c>
      <c r="J35" s="12"/>
      <c r="K35" s="12"/>
      <c r="L35" s="12"/>
      <c r="M35" s="12"/>
      <c r="N35" s="12"/>
      <c r="O35" s="12"/>
      <c r="P35" s="12"/>
      <c r="Q35" s="1"/>
    </row>
    <row r="36" spans="1:17" s="4" customFormat="1" ht="46.5">
      <c r="A36" s="110" t="s">
        <v>312</v>
      </c>
      <c r="B36" s="1" t="s">
        <v>400</v>
      </c>
      <c r="C36" s="12" t="s">
        <v>25</v>
      </c>
      <c r="D36" s="12"/>
      <c r="E36" s="12"/>
      <c r="F36" s="12"/>
      <c r="G36" s="12"/>
      <c r="H36" s="15"/>
      <c r="I36" s="15"/>
      <c r="J36" s="12"/>
      <c r="K36" s="12"/>
      <c r="L36" s="12">
        <v>1</v>
      </c>
      <c r="M36" s="12"/>
      <c r="N36" s="12"/>
      <c r="O36" s="12"/>
      <c r="P36" s="12"/>
      <c r="Q36" s="1"/>
    </row>
    <row r="37" spans="1:17" s="4" customFormat="1" ht="15" customHeight="1">
      <c r="A37" s="11">
        <v>13</v>
      </c>
      <c r="B37" s="256" t="s">
        <v>270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</row>
    <row r="38" spans="1:17" s="4" customFormat="1" ht="31.5" customHeight="1">
      <c r="A38" s="11">
        <v>14</v>
      </c>
      <c r="B38" s="257" t="s">
        <v>33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</row>
    <row r="39" spans="1:17" s="4" customFormat="1" ht="15" customHeight="1">
      <c r="A39" s="11">
        <v>15</v>
      </c>
      <c r="B39" s="257" t="s">
        <v>38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</row>
    <row r="40" spans="1:17" s="4" customFormat="1" ht="30.75">
      <c r="A40" s="11">
        <v>16</v>
      </c>
      <c r="B40" s="1" t="s">
        <v>47</v>
      </c>
      <c r="C40" s="12" t="s">
        <v>28</v>
      </c>
      <c r="D40" s="12">
        <v>1000</v>
      </c>
      <c r="E40" s="12">
        <v>1500</v>
      </c>
      <c r="F40" s="15"/>
      <c r="G40" s="12"/>
      <c r="H40" s="220">
        <f>1.07971</f>
        <v>1.07971</v>
      </c>
      <c r="I40" s="220">
        <v>2.2675</v>
      </c>
      <c r="J40" s="13"/>
      <c r="K40" s="13">
        <v>2.51485</v>
      </c>
      <c r="L40" s="13"/>
      <c r="M40" s="13"/>
      <c r="N40" s="13"/>
      <c r="O40" s="13"/>
      <c r="P40" s="13"/>
      <c r="Q40" s="12"/>
    </row>
    <row r="41" spans="1:17" s="4" customFormat="1" ht="30.75" customHeight="1">
      <c r="A41" s="11">
        <v>17</v>
      </c>
      <c r="B41" s="274" t="s">
        <v>39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6"/>
    </row>
    <row r="42" spans="1:17" s="4" customFormat="1" ht="30.75">
      <c r="A42" s="11">
        <v>18</v>
      </c>
      <c r="B42" s="1" t="s">
        <v>48</v>
      </c>
      <c r="C42" s="12" t="s">
        <v>212</v>
      </c>
      <c r="D42" s="12">
        <v>1000</v>
      </c>
      <c r="E42" s="12">
        <v>1500</v>
      </c>
      <c r="F42" s="15">
        <v>2000</v>
      </c>
      <c r="G42" s="12">
        <v>2500</v>
      </c>
      <c r="H42" s="15">
        <v>2700</v>
      </c>
      <c r="I42" s="15">
        <v>2900</v>
      </c>
      <c r="J42" s="12">
        <v>3000</v>
      </c>
      <c r="K42" s="12">
        <v>3000</v>
      </c>
      <c r="L42" s="12">
        <v>3000</v>
      </c>
      <c r="M42" s="12">
        <v>3000</v>
      </c>
      <c r="N42" s="12">
        <v>3000</v>
      </c>
      <c r="O42" s="12">
        <v>3000</v>
      </c>
      <c r="P42" s="12">
        <v>3000</v>
      </c>
      <c r="Q42" s="1"/>
    </row>
    <row r="43" spans="1:17" s="4" customFormat="1" ht="18.75">
      <c r="A43" s="11">
        <v>19</v>
      </c>
      <c r="B43" s="1" t="s">
        <v>49</v>
      </c>
      <c r="C43" s="12" t="s">
        <v>212</v>
      </c>
      <c r="D43" s="12">
        <v>1000</v>
      </c>
      <c r="E43" s="12">
        <v>1200</v>
      </c>
      <c r="F43" s="15">
        <v>1400</v>
      </c>
      <c r="G43" s="12">
        <v>1600</v>
      </c>
      <c r="H43" s="15">
        <v>1800</v>
      </c>
      <c r="I43" s="15">
        <v>1950</v>
      </c>
      <c r="J43" s="12">
        <v>2000</v>
      </c>
      <c r="K43" s="12">
        <v>2000</v>
      </c>
      <c r="L43" s="12">
        <v>2000</v>
      </c>
      <c r="M43" s="12">
        <v>2000</v>
      </c>
      <c r="N43" s="12">
        <v>2000</v>
      </c>
      <c r="O43" s="12">
        <v>2000</v>
      </c>
      <c r="P43" s="12">
        <v>2000</v>
      </c>
      <c r="Q43" s="1"/>
    </row>
    <row r="44" spans="1:17" s="4" customFormat="1" ht="15">
      <c r="A44" s="11">
        <v>20</v>
      </c>
      <c r="B44" s="1" t="s">
        <v>50</v>
      </c>
      <c r="C44" s="12" t="s">
        <v>20</v>
      </c>
      <c r="D44" s="12">
        <v>100</v>
      </c>
      <c r="E44" s="12">
        <v>100</v>
      </c>
      <c r="F44" s="15">
        <v>100</v>
      </c>
      <c r="G44" s="12">
        <v>100</v>
      </c>
      <c r="H44" s="15">
        <v>100</v>
      </c>
      <c r="I44" s="15">
        <v>100</v>
      </c>
      <c r="J44" s="12">
        <v>100</v>
      </c>
      <c r="K44" s="12">
        <v>100</v>
      </c>
      <c r="L44" s="12">
        <v>100</v>
      </c>
      <c r="M44" s="12">
        <v>100</v>
      </c>
      <c r="N44" s="12">
        <v>100</v>
      </c>
      <c r="O44" s="12">
        <v>100</v>
      </c>
      <c r="P44" s="12">
        <v>100</v>
      </c>
      <c r="Q44" s="1"/>
    </row>
    <row r="45" spans="1:17" s="4" customFormat="1" ht="30.75">
      <c r="A45" s="11">
        <v>21</v>
      </c>
      <c r="B45" s="1" t="s">
        <v>51</v>
      </c>
      <c r="C45" s="12" t="s">
        <v>15</v>
      </c>
      <c r="D45" s="12" t="s">
        <v>16</v>
      </c>
      <c r="E45" s="12" t="s">
        <v>16</v>
      </c>
      <c r="F45" s="12" t="s">
        <v>16</v>
      </c>
      <c r="G45" s="12" t="s">
        <v>16</v>
      </c>
      <c r="H45" s="15" t="s">
        <v>16</v>
      </c>
      <c r="I45" s="15" t="s">
        <v>16</v>
      </c>
      <c r="J45" s="12" t="s">
        <v>16</v>
      </c>
      <c r="K45" s="12" t="s">
        <v>16</v>
      </c>
      <c r="L45" s="12" t="s">
        <v>16</v>
      </c>
      <c r="M45" s="12" t="s">
        <v>16</v>
      </c>
      <c r="N45" s="12" t="s">
        <v>16</v>
      </c>
      <c r="O45" s="12" t="s">
        <v>16</v>
      </c>
      <c r="P45" s="12" t="s">
        <v>16</v>
      </c>
      <c r="Q45" s="1"/>
    </row>
    <row r="46" spans="1:17" s="4" customFormat="1" ht="15" customHeight="1">
      <c r="A46" s="11">
        <v>22</v>
      </c>
      <c r="B46" s="256" t="s">
        <v>271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</row>
    <row r="47" spans="1:17" s="4" customFormat="1" ht="15" customHeight="1">
      <c r="A47" s="11">
        <v>23</v>
      </c>
      <c r="B47" s="257" t="s">
        <v>34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</row>
    <row r="48" spans="1:17" s="4" customFormat="1" ht="15" customHeight="1">
      <c r="A48" s="11">
        <v>24</v>
      </c>
      <c r="B48" s="257" t="s">
        <v>40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</row>
    <row r="49" spans="1:17" s="4" customFormat="1" ht="30.75">
      <c r="A49" s="11">
        <v>25</v>
      </c>
      <c r="B49" s="1" t="s">
        <v>353</v>
      </c>
      <c r="C49" s="12" t="s">
        <v>213</v>
      </c>
      <c r="D49" s="12">
        <v>1116</v>
      </c>
      <c r="E49" s="12">
        <v>1120</v>
      </c>
      <c r="F49" s="15">
        <v>1120</v>
      </c>
      <c r="G49" s="12">
        <v>1120</v>
      </c>
      <c r="H49" s="15">
        <v>0</v>
      </c>
      <c r="I49" s="15">
        <v>0</v>
      </c>
      <c r="J49" s="12">
        <v>3200</v>
      </c>
      <c r="K49" s="12">
        <v>3200</v>
      </c>
      <c r="L49" s="12">
        <v>3200</v>
      </c>
      <c r="M49" s="12">
        <v>3200</v>
      </c>
      <c r="N49" s="12">
        <v>3200</v>
      </c>
      <c r="O49" s="12">
        <v>3200</v>
      </c>
      <c r="P49" s="12">
        <v>3200</v>
      </c>
      <c r="Q49" s="1"/>
    </row>
    <row r="50" spans="1:17" s="4" customFormat="1" ht="15">
      <c r="A50" s="11">
        <v>26</v>
      </c>
      <c r="B50" s="1" t="s">
        <v>52</v>
      </c>
      <c r="C50" s="12" t="s">
        <v>26</v>
      </c>
      <c r="D50" s="12">
        <v>40</v>
      </c>
      <c r="E50" s="12">
        <v>50</v>
      </c>
      <c r="F50" s="15">
        <v>60</v>
      </c>
      <c r="G50" s="12">
        <v>70</v>
      </c>
      <c r="H50" s="15">
        <v>80</v>
      </c>
      <c r="I50" s="15">
        <v>80</v>
      </c>
      <c r="J50" s="12">
        <v>80</v>
      </c>
      <c r="K50" s="12">
        <v>80</v>
      </c>
      <c r="L50" s="12">
        <v>80</v>
      </c>
      <c r="M50" s="12">
        <v>80</v>
      </c>
      <c r="N50" s="12">
        <v>80</v>
      </c>
      <c r="O50" s="12">
        <v>80</v>
      </c>
      <c r="P50" s="12">
        <v>80</v>
      </c>
      <c r="Q50" s="1"/>
    </row>
    <row r="51" spans="1:17" s="4" customFormat="1" ht="18.75">
      <c r="A51" s="11">
        <v>27</v>
      </c>
      <c r="B51" s="1" t="s">
        <v>53</v>
      </c>
      <c r="C51" s="12" t="s">
        <v>212</v>
      </c>
      <c r="D51" s="12">
        <v>6400</v>
      </c>
      <c r="E51" s="12">
        <v>7000</v>
      </c>
      <c r="F51" s="15">
        <v>7500</v>
      </c>
      <c r="G51" s="12">
        <v>7500</v>
      </c>
      <c r="H51" s="15">
        <v>7500</v>
      </c>
      <c r="I51" s="15">
        <v>7500</v>
      </c>
      <c r="J51" s="12">
        <v>7500</v>
      </c>
      <c r="K51" s="12">
        <v>7500</v>
      </c>
      <c r="L51" s="12">
        <v>7500</v>
      </c>
      <c r="M51" s="12">
        <v>7500</v>
      </c>
      <c r="N51" s="12">
        <v>7500</v>
      </c>
      <c r="O51" s="12">
        <v>7500</v>
      </c>
      <c r="P51" s="12">
        <v>7500</v>
      </c>
      <c r="Q51" s="1"/>
    </row>
    <row r="52" spans="1:17" s="4" customFormat="1" ht="15">
      <c r="A52" s="11">
        <v>28</v>
      </c>
      <c r="B52" s="1" t="s">
        <v>54</v>
      </c>
      <c r="C52" s="12" t="s">
        <v>26</v>
      </c>
      <c r="D52" s="12">
        <v>7700</v>
      </c>
      <c r="E52" s="12">
        <v>8000</v>
      </c>
      <c r="F52" s="15">
        <v>8500</v>
      </c>
      <c r="G52" s="12">
        <v>3500</v>
      </c>
      <c r="H52" s="15">
        <v>3500</v>
      </c>
      <c r="I52" s="15">
        <v>3500</v>
      </c>
      <c r="J52" s="12">
        <v>3500</v>
      </c>
      <c r="K52" s="12">
        <v>3500</v>
      </c>
      <c r="L52" s="12">
        <v>3500</v>
      </c>
      <c r="M52" s="12">
        <v>3500</v>
      </c>
      <c r="N52" s="12">
        <v>3500</v>
      </c>
      <c r="O52" s="12">
        <v>3500</v>
      </c>
      <c r="P52" s="12">
        <v>3500</v>
      </c>
      <c r="Q52" s="1"/>
    </row>
    <row r="53" spans="1:17" s="4" customFormat="1" ht="15" customHeight="1">
      <c r="A53" s="11">
        <v>29</v>
      </c>
      <c r="B53" s="257" t="s">
        <v>41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</row>
    <row r="54" spans="1:17" s="4" customFormat="1" ht="15">
      <c r="A54" s="11">
        <v>30</v>
      </c>
      <c r="B54" s="1" t="s">
        <v>55</v>
      </c>
      <c r="C54" s="12" t="s">
        <v>27</v>
      </c>
      <c r="D54" s="12"/>
      <c r="E54" s="12"/>
      <c r="F54" s="12">
        <v>4</v>
      </c>
      <c r="G54" s="12"/>
      <c r="H54" s="15"/>
      <c r="I54" s="15"/>
      <c r="J54" s="12"/>
      <c r="K54" s="12"/>
      <c r="L54" s="12"/>
      <c r="M54" s="12"/>
      <c r="N54" s="12"/>
      <c r="O54" s="12"/>
      <c r="P54" s="12"/>
      <c r="Q54" s="1"/>
    </row>
    <row r="55" spans="1:17" s="4" customFormat="1" ht="30.75">
      <c r="A55" s="11">
        <v>31</v>
      </c>
      <c r="B55" s="1" t="s">
        <v>56</v>
      </c>
      <c r="C55" s="12" t="s">
        <v>20</v>
      </c>
      <c r="D55" s="12"/>
      <c r="E55" s="12"/>
      <c r="F55" s="12">
        <v>44.6</v>
      </c>
      <c r="G55" s="12"/>
      <c r="H55" s="15"/>
      <c r="I55" s="15"/>
      <c r="J55" s="12"/>
      <c r="K55" s="12"/>
      <c r="L55" s="12"/>
      <c r="M55" s="12"/>
      <c r="N55" s="12"/>
      <c r="O55" s="12"/>
      <c r="P55" s="12"/>
      <c r="Q55" s="18" t="s">
        <v>59</v>
      </c>
    </row>
    <row r="56" spans="1:17" s="4" customFormat="1" ht="15" customHeight="1">
      <c r="A56" s="11">
        <v>32</v>
      </c>
      <c r="B56" s="257" t="s">
        <v>42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</row>
    <row r="57" spans="1:17" s="4" customFormat="1" ht="33" customHeight="1">
      <c r="A57" s="11">
        <v>33</v>
      </c>
      <c r="B57" s="1" t="s">
        <v>57</v>
      </c>
      <c r="C57" s="12" t="s">
        <v>20</v>
      </c>
      <c r="D57" s="12"/>
      <c r="E57" s="12"/>
      <c r="F57" s="12">
        <v>37.5</v>
      </c>
      <c r="G57" s="12"/>
      <c r="H57" s="15"/>
      <c r="I57" s="15"/>
      <c r="J57" s="12"/>
      <c r="K57" s="12"/>
      <c r="L57" s="12"/>
      <c r="M57" s="12"/>
      <c r="N57" s="12"/>
      <c r="O57" s="12"/>
      <c r="P57" s="12"/>
      <c r="Q57" s="18" t="s">
        <v>31</v>
      </c>
    </row>
    <row r="58" spans="1:17" s="4" customFormat="1" ht="15" customHeight="1">
      <c r="A58" s="11">
        <v>34</v>
      </c>
      <c r="B58" s="256" t="s">
        <v>272</v>
      </c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</row>
    <row r="59" spans="1:17" s="4" customFormat="1" ht="15" customHeight="1">
      <c r="A59" s="11">
        <v>35</v>
      </c>
      <c r="B59" s="257" t="s">
        <v>35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</row>
    <row r="60" spans="1:17" s="4" customFormat="1" ht="15" customHeight="1">
      <c r="A60" s="11">
        <v>36</v>
      </c>
      <c r="B60" s="257" t="s">
        <v>43</v>
      </c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</row>
    <row r="61" spans="1:17" s="4" customFormat="1" ht="30.75">
      <c r="A61" s="11">
        <v>37</v>
      </c>
      <c r="B61" s="1" t="s">
        <v>58</v>
      </c>
      <c r="C61" s="12" t="s">
        <v>26</v>
      </c>
      <c r="D61" s="12">
        <v>1</v>
      </c>
      <c r="E61" s="1"/>
      <c r="F61" s="16"/>
      <c r="G61" s="1"/>
      <c r="H61" s="16"/>
      <c r="I61" s="16"/>
      <c r="J61" s="1"/>
      <c r="K61" s="1"/>
      <c r="L61" s="1"/>
      <c r="M61" s="1"/>
      <c r="N61" s="1"/>
      <c r="O61" s="1"/>
      <c r="P61" s="1"/>
      <c r="Q61" s="1"/>
    </row>
    <row r="62" spans="1:17" s="4" customFormat="1" ht="67.5" customHeight="1">
      <c r="A62" s="11">
        <v>38</v>
      </c>
      <c r="B62" s="1" t="s">
        <v>152</v>
      </c>
      <c r="C62" s="12" t="s">
        <v>15</v>
      </c>
      <c r="D62" s="12"/>
      <c r="E62" s="1"/>
      <c r="F62" s="16"/>
      <c r="G62" s="12" t="s">
        <v>16</v>
      </c>
      <c r="H62" s="16"/>
      <c r="I62" s="16"/>
      <c r="J62" s="1"/>
      <c r="K62" s="1"/>
      <c r="L62" s="1"/>
      <c r="M62" s="1"/>
      <c r="N62" s="1"/>
      <c r="O62" s="1"/>
      <c r="P62" s="1"/>
      <c r="Q62" s="1"/>
    </row>
    <row r="63" spans="1:17" s="4" customFormat="1" ht="15">
      <c r="A63" s="11">
        <v>39</v>
      </c>
      <c r="B63" s="1" t="s">
        <v>141</v>
      </c>
      <c r="C63" s="12" t="s">
        <v>28</v>
      </c>
      <c r="D63" s="12"/>
      <c r="E63" s="12"/>
      <c r="F63" s="15"/>
      <c r="G63" s="12"/>
      <c r="H63" s="15">
        <v>0.917</v>
      </c>
      <c r="I63" s="220">
        <v>18.4207</v>
      </c>
      <c r="J63" s="13">
        <v>11.5555</v>
      </c>
      <c r="K63" s="13"/>
      <c r="L63" s="13">
        <v>25.005</v>
      </c>
      <c r="M63" s="13"/>
      <c r="N63" s="13"/>
      <c r="O63" s="13"/>
      <c r="P63" s="13"/>
      <c r="Q63" s="1"/>
    </row>
    <row r="64" spans="1:17" s="4" customFormat="1" ht="78">
      <c r="A64" s="11" t="s">
        <v>334</v>
      </c>
      <c r="B64" s="1" t="s">
        <v>335</v>
      </c>
      <c r="C64" s="12" t="s">
        <v>15</v>
      </c>
      <c r="D64" s="12"/>
      <c r="E64" s="12"/>
      <c r="F64" s="15"/>
      <c r="G64" s="12"/>
      <c r="H64" s="15"/>
      <c r="I64" s="15" t="s">
        <v>16</v>
      </c>
      <c r="J64" s="13"/>
      <c r="K64" s="13"/>
      <c r="L64" s="13"/>
      <c r="M64" s="13"/>
      <c r="N64" s="13"/>
      <c r="O64" s="13"/>
      <c r="P64" s="13"/>
      <c r="Q64" s="1"/>
    </row>
    <row r="65" spans="1:17" s="4" customFormat="1" ht="46.5">
      <c r="A65" s="11" t="s">
        <v>386</v>
      </c>
      <c r="B65" s="1" t="s">
        <v>387</v>
      </c>
      <c r="C65" s="12" t="s">
        <v>15</v>
      </c>
      <c r="D65" s="12"/>
      <c r="E65" s="12"/>
      <c r="F65" s="15"/>
      <c r="G65" s="12"/>
      <c r="H65" s="15"/>
      <c r="I65" s="15"/>
      <c r="J65" s="12"/>
      <c r="K65" s="12" t="s">
        <v>16</v>
      </c>
      <c r="L65" s="13"/>
      <c r="M65" s="13"/>
      <c r="N65" s="13"/>
      <c r="O65" s="13"/>
      <c r="P65" s="13"/>
      <c r="Q65" s="1"/>
    </row>
    <row r="66" spans="1:17" s="4" customFormat="1" ht="46.5">
      <c r="A66" s="11" t="s">
        <v>428</v>
      </c>
      <c r="B66" s="1" t="s">
        <v>430</v>
      </c>
      <c r="C66" s="12" t="s">
        <v>15</v>
      </c>
      <c r="D66" s="12"/>
      <c r="E66" s="12"/>
      <c r="F66" s="15"/>
      <c r="G66" s="12"/>
      <c r="H66" s="15"/>
      <c r="I66" s="15"/>
      <c r="J66" s="12"/>
      <c r="K66" s="12" t="s">
        <v>16</v>
      </c>
      <c r="L66" s="13"/>
      <c r="M66" s="13"/>
      <c r="N66" s="13"/>
      <c r="O66" s="13"/>
      <c r="P66" s="13"/>
      <c r="Q66" s="1"/>
    </row>
    <row r="67" spans="1:17" s="4" customFormat="1" ht="78">
      <c r="A67" s="11" t="s">
        <v>429</v>
      </c>
      <c r="B67" s="1" t="s">
        <v>431</v>
      </c>
      <c r="C67" s="12" t="s">
        <v>15</v>
      </c>
      <c r="D67" s="12"/>
      <c r="E67" s="12"/>
      <c r="F67" s="15"/>
      <c r="G67" s="12"/>
      <c r="H67" s="15"/>
      <c r="I67" s="15"/>
      <c r="J67" s="12"/>
      <c r="K67" s="12" t="s">
        <v>16</v>
      </c>
      <c r="L67" s="13"/>
      <c r="M67" s="13"/>
      <c r="N67" s="13"/>
      <c r="O67" s="13"/>
      <c r="P67" s="13"/>
      <c r="Q67" s="1"/>
    </row>
    <row r="68" spans="1:17" s="4" customFormat="1" ht="15" customHeight="1">
      <c r="A68" s="11">
        <v>40</v>
      </c>
      <c r="B68" s="256" t="s">
        <v>357</v>
      </c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</row>
    <row r="69" spans="1:17" s="4" customFormat="1" ht="15" customHeight="1">
      <c r="A69" s="11">
        <v>41</v>
      </c>
      <c r="B69" s="257" t="s">
        <v>36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</row>
    <row r="70" spans="1:17" s="4" customFormat="1" ht="15" customHeight="1">
      <c r="A70" s="11">
        <v>42</v>
      </c>
      <c r="B70" s="257" t="s">
        <v>44</v>
      </c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</row>
    <row r="71" spans="1:17" s="4" customFormat="1" ht="30.75">
      <c r="A71" s="11">
        <v>43</v>
      </c>
      <c r="B71" s="1" t="s">
        <v>142</v>
      </c>
      <c r="C71" s="12" t="s">
        <v>20</v>
      </c>
      <c r="D71" s="12">
        <v>100</v>
      </c>
      <c r="E71" s="12">
        <v>100</v>
      </c>
      <c r="F71" s="15">
        <v>100</v>
      </c>
      <c r="G71" s="15">
        <v>100</v>
      </c>
      <c r="H71" s="15">
        <v>100</v>
      </c>
      <c r="I71" s="15">
        <v>100</v>
      </c>
      <c r="J71" s="15">
        <v>100</v>
      </c>
      <c r="K71" s="15">
        <v>100</v>
      </c>
      <c r="L71" s="15">
        <v>100</v>
      </c>
      <c r="M71" s="15">
        <v>100</v>
      </c>
      <c r="N71" s="15">
        <v>100</v>
      </c>
      <c r="O71" s="15">
        <v>100</v>
      </c>
      <c r="P71" s="15">
        <v>100</v>
      </c>
      <c r="Q71" s="1"/>
    </row>
    <row r="72" spans="1:17" s="4" customFormat="1" ht="15" customHeight="1">
      <c r="A72" s="11">
        <v>44</v>
      </c>
      <c r="B72" s="273" t="s">
        <v>273</v>
      </c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</row>
    <row r="73" spans="1:17" s="4" customFormat="1" ht="33" customHeight="1">
      <c r="A73" s="11">
        <v>45</v>
      </c>
      <c r="B73" s="272" t="s">
        <v>37</v>
      </c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</row>
    <row r="74" spans="1:17" s="4" customFormat="1" ht="15" customHeight="1">
      <c r="A74" s="11">
        <v>46</v>
      </c>
      <c r="B74" s="272" t="s">
        <v>45</v>
      </c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</row>
    <row r="75" spans="1:17" s="4" customFormat="1" ht="45" customHeight="1">
      <c r="A75" s="11">
        <v>47</v>
      </c>
      <c r="B75" s="214" t="s">
        <v>143</v>
      </c>
      <c r="C75" s="81" t="s">
        <v>20</v>
      </c>
      <c r="D75" s="81" t="s">
        <v>6</v>
      </c>
      <c r="E75" s="81">
        <v>2.2</v>
      </c>
      <c r="F75" s="81">
        <v>2.1</v>
      </c>
      <c r="G75" s="81">
        <v>2</v>
      </c>
      <c r="H75" s="81">
        <v>1.9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209"/>
    </row>
    <row r="76" spans="1:17" s="10" customFormat="1" ht="34.5" customHeight="1">
      <c r="A76" s="11">
        <v>48</v>
      </c>
      <c r="B76" s="266" t="s">
        <v>29</v>
      </c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8"/>
    </row>
    <row r="77" spans="1:17" s="10" customFormat="1" ht="15">
      <c r="A77" s="11">
        <v>49</v>
      </c>
      <c r="B77" s="269" t="s">
        <v>46</v>
      </c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1"/>
    </row>
    <row r="78" spans="1:17" s="10" customFormat="1" ht="30.75">
      <c r="A78" s="11">
        <v>50</v>
      </c>
      <c r="B78" s="82" t="s">
        <v>144</v>
      </c>
      <c r="C78" s="83" t="s">
        <v>25</v>
      </c>
      <c r="D78" s="84" t="s">
        <v>6</v>
      </c>
      <c r="E78" s="84">
        <v>6</v>
      </c>
      <c r="F78" s="84">
        <v>17</v>
      </c>
      <c r="G78" s="84">
        <v>13</v>
      </c>
      <c r="H78" s="84"/>
      <c r="I78" s="84"/>
      <c r="J78" s="84"/>
      <c r="K78" s="84"/>
      <c r="L78" s="84"/>
      <c r="M78" s="84"/>
      <c r="N78" s="84"/>
      <c r="O78" s="84"/>
      <c r="P78" s="84"/>
      <c r="Q78" s="85"/>
    </row>
    <row r="79" spans="1:17" s="10" customFormat="1" ht="30.75">
      <c r="A79" s="11">
        <v>51</v>
      </c>
      <c r="B79" s="82" t="s">
        <v>145</v>
      </c>
      <c r="C79" s="83" t="s">
        <v>214</v>
      </c>
      <c r="D79" s="84" t="s">
        <v>6</v>
      </c>
      <c r="E79" s="84">
        <v>860.9</v>
      </c>
      <c r="F79" s="84">
        <v>1232.63</v>
      </c>
      <c r="G79" s="84">
        <v>1688.13</v>
      </c>
      <c r="H79" s="84"/>
      <c r="I79" s="84"/>
      <c r="J79" s="84"/>
      <c r="K79" s="84"/>
      <c r="L79" s="84"/>
      <c r="M79" s="84"/>
      <c r="N79" s="84"/>
      <c r="O79" s="84"/>
      <c r="P79" s="84"/>
      <c r="Q79" s="85"/>
    </row>
    <row r="80" spans="1:17" s="10" customFormat="1" ht="65.25" customHeight="1">
      <c r="A80" s="11">
        <v>52</v>
      </c>
      <c r="B80" s="82" t="s">
        <v>146</v>
      </c>
      <c r="C80" s="83" t="s">
        <v>24</v>
      </c>
      <c r="D80" s="84" t="s">
        <v>6</v>
      </c>
      <c r="E80" s="84">
        <v>53</v>
      </c>
      <c r="F80" s="84">
        <v>98</v>
      </c>
      <c r="G80" s="84">
        <v>119</v>
      </c>
      <c r="H80" s="84"/>
      <c r="I80" s="84"/>
      <c r="J80" s="84"/>
      <c r="K80" s="84"/>
      <c r="L80" s="84"/>
      <c r="M80" s="84"/>
      <c r="N80" s="84"/>
      <c r="O80" s="84"/>
      <c r="P80" s="84"/>
      <c r="Q80" s="85"/>
    </row>
    <row r="81" spans="1:17" s="14" customFormat="1" ht="24" customHeight="1">
      <c r="A81" s="11">
        <v>53</v>
      </c>
      <c r="B81" s="248" t="s">
        <v>274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50"/>
    </row>
    <row r="82" spans="1:17" ht="18.75" customHeight="1">
      <c r="A82" s="11">
        <v>54</v>
      </c>
      <c r="B82" s="263" t="s">
        <v>118</v>
      </c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5"/>
    </row>
    <row r="83" spans="1:17" ht="33" customHeight="1">
      <c r="A83" s="11">
        <v>55</v>
      </c>
      <c r="B83" s="257" t="s">
        <v>223</v>
      </c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</row>
    <row r="84" spans="1:17" ht="62.25">
      <c r="A84" s="11">
        <v>56</v>
      </c>
      <c r="B84" s="1" t="s">
        <v>224</v>
      </c>
      <c r="C84" s="12" t="s">
        <v>15</v>
      </c>
      <c r="D84" s="12"/>
      <c r="E84" s="12"/>
      <c r="F84" s="12" t="s">
        <v>16</v>
      </c>
      <c r="G84" s="1"/>
      <c r="H84" s="16"/>
      <c r="I84" s="16"/>
      <c r="J84" s="1"/>
      <c r="K84" s="1"/>
      <c r="L84" s="1"/>
      <c r="M84" s="1"/>
      <c r="N84" s="1"/>
      <c r="O84" s="1"/>
      <c r="P84" s="1"/>
      <c r="Q84" s="1"/>
    </row>
    <row r="85" spans="1:17" ht="62.25">
      <c r="A85" s="11">
        <v>57</v>
      </c>
      <c r="B85" s="1" t="s">
        <v>225</v>
      </c>
      <c r="C85" s="12" t="s">
        <v>25</v>
      </c>
      <c r="D85" s="12"/>
      <c r="E85" s="12"/>
      <c r="F85" s="12"/>
      <c r="G85" s="1"/>
      <c r="H85" s="15"/>
      <c r="I85" s="15"/>
      <c r="J85" s="15">
        <v>1</v>
      </c>
      <c r="K85" s="1"/>
      <c r="L85" s="1"/>
      <c r="M85" s="1"/>
      <c r="N85" s="1"/>
      <c r="O85" s="1"/>
      <c r="P85" s="1"/>
      <c r="Q85" s="1"/>
    </row>
    <row r="86" spans="1:17" ht="15" customHeight="1">
      <c r="A86" s="11">
        <v>58</v>
      </c>
      <c r="B86" s="248" t="s">
        <v>275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50"/>
    </row>
    <row r="87" spans="1:17" ht="15.75" customHeight="1">
      <c r="A87" s="11">
        <v>59</v>
      </c>
      <c r="B87" s="261" t="s">
        <v>216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</row>
    <row r="88" spans="1:17" ht="15.75" customHeight="1">
      <c r="A88" s="11">
        <v>60</v>
      </c>
      <c r="B88" s="263" t="s">
        <v>218</v>
      </c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5"/>
    </row>
    <row r="89" spans="1:17" ht="30.75">
      <c r="A89" s="11">
        <v>61</v>
      </c>
      <c r="B89" s="5" t="s">
        <v>147</v>
      </c>
      <c r="C89" s="12" t="s">
        <v>20</v>
      </c>
      <c r="D89" s="51"/>
      <c r="E89" s="51"/>
      <c r="F89" s="12">
        <v>7</v>
      </c>
      <c r="G89" s="12">
        <v>9.8</v>
      </c>
      <c r="H89" s="15"/>
      <c r="I89" s="15"/>
      <c r="J89" s="12"/>
      <c r="K89" s="12"/>
      <c r="L89" s="12"/>
      <c r="M89" s="12"/>
      <c r="N89" s="12"/>
      <c r="O89" s="12"/>
      <c r="P89" s="12"/>
      <c r="Q89" s="12"/>
    </row>
    <row r="90" spans="1:17" ht="30.75">
      <c r="A90" s="11">
        <v>62</v>
      </c>
      <c r="B90" s="5" t="s">
        <v>148</v>
      </c>
      <c r="C90" s="12" t="s">
        <v>20</v>
      </c>
      <c r="D90" s="51"/>
      <c r="E90" s="51"/>
      <c r="F90" s="12">
        <v>24.3</v>
      </c>
      <c r="G90" s="12">
        <v>34.7</v>
      </c>
      <c r="H90" s="15"/>
      <c r="I90" s="15"/>
      <c r="J90" s="12"/>
      <c r="K90" s="12"/>
      <c r="L90" s="12"/>
      <c r="M90" s="12"/>
      <c r="N90" s="12"/>
      <c r="O90" s="12"/>
      <c r="P90" s="12"/>
      <c r="Q90" s="12"/>
    </row>
    <row r="91" spans="1:8" ht="15" customHeight="1">
      <c r="A91" s="11">
        <v>63</v>
      </c>
      <c r="B91" s="258" t="s">
        <v>219</v>
      </c>
      <c r="C91" s="259"/>
      <c r="D91" s="259"/>
      <c r="E91" s="259"/>
      <c r="F91" s="259"/>
      <c r="G91" s="259"/>
      <c r="H91" s="260"/>
    </row>
    <row r="92" spans="1:17" ht="30.75">
      <c r="A92" s="11">
        <v>64</v>
      </c>
      <c r="B92" s="1" t="s">
        <v>149</v>
      </c>
      <c r="C92" s="12" t="s">
        <v>20</v>
      </c>
      <c r="D92" s="51"/>
      <c r="E92" s="51"/>
      <c r="F92" s="12">
        <v>19.5</v>
      </c>
      <c r="G92" s="12">
        <v>36.3</v>
      </c>
      <c r="H92" s="15"/>
      <c r="I92" s="15"/>
      <c r="J92" s="12"/>
      <c r="K92" s="12"/>
      <c r="L92" s="12"/>
      <c r="M92" s="12"/>
      <c r="N92" s="12"/>
      <c r="O92" s="12"/>
      <c r="P92" s="12"/>
      <c r="Q92" s="12"/>
    </row>
    <row r="93" spans="1:17" ht="15" customHeight="1">
      <c r="A93" s="11">
        <v>65</v>
      </c>
      <c r="B93" s="248" t="s">
        <v>276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50"/>
    </row>
    <row r="94" spans="1:17" ht="15" customHeight="1">
      <c r="A94" s="11">
        <v>66</v>
      </c>
      <c r="B94" s="261" t="s">
        <v>217</v>
      </c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</row>
    <row r="95" spans="1:17" ht="15" customHeight="1">
      <c r="A95" s="11">
        <v>67</v>
      </c>
      <c r="B95" s="263" t="s">
        <v>220</v>
      </c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5"/>
    </row>
    <row r="96" spans="1:17" ht="46.5">
      <c r="A96" s="11">
        <v>68</v>
      </c>
      <c r="B96" s="5" t="s">
        <v>151</v>
      </c>
      <c r="C96" s="12" t="s">
        <v>15</v>
      </c>
      <c r="D96" s="51"/>
      <c r="E96" s="51"/>
      <c r="F96" s="12"/>
      <c r="G96" s="12" t="s">
        <v>16</v>
      </c>
      <c r="H96" s="15"/>
      <c r="I96" s="15"/>
      <c r="J96" s="12"/>
      <c r="K96" s="12"/>
      <c r="L96" s="12"/>
      <c r="M96" s="12"/>
      <c r="N96" s="12"/>
      <c r="O96" s="12"/>
      <c r="P96" s="12"/>
      <c r="Q96" s="12"/>
    </row>
    <row r="97" spans="1:17" ht="46.5">
      <c r="A97" s="11">
        <v>69</v>
      </c>
      <c r="B97" s="5" t="s">
        <v>150</v>
      </c>
      <c r="C97" s="12" t="s">
        <v>25</v>
      </c>
      <c r="D97" s="51"/>
      <c r="E97" s="51"/>
      <c r="F97" s="12"/>
      <c r="G97" s="12"/>
      <c r="H97" s="15"/>
      <c r="I97" s="15"/>
      <c r="J97" s="12"/>
      <c r="K97" s="12"/>
      <c r="L97" s="12">
        <v>1</v>
      </c>
      <c r="M97" s="12"/>
      <c r="N97" s="12"/>
      <c r="O97" s="12"/>
      <c r="P97" s="12"/>
      <c r="Q97" s="12"/>
    </row>
    <row r="98" spans="1:17" ht="15" customHeight="1">
      <c r="A98" s="11">
        <v>70</v>
      </c>
      <c r="B98" s="248" t="s">
        <v>304</v>
      </c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50"/>
    </row>
    <row r="99" spans="1:17" ht="15" customHeight="1">
      <c r="A99" s="11">
        <v>71</v>
      </c>
      <c r="B99" s="251" t="s">
        <v>316</v>
      </c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</row>
    <row r="100" spans="1:17" ht="30.75" customHeight="1">
      <c r="A100" s="11">
        <v>72</v>
      </c>
      <c r="B100" s="253" t="s">
        <v>317</v>
      </c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5"/>
    </row>
    <row r="101" spans="1:17" ht="46.5">
      <c r="A101" s="11">
        <v>73</v>
      </c>
      <c r="B101" s="5" t="s">
        <v>318</v>
      </c>
      <c r="C101" s="12" t="s">
        <v>15</v>
      </c>
      <c r="D101" s="51"/>
      <c r="E101" s="51"/>
      <c r="F101" s="12"/>
      <c r="G101" s="12"/>
      <c r="H101" s="15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1:17" ht="30.75">
      <c r="A102" s="11">
        <v>74</v>
      </c>
      <c r="B102" s="5" t="s">
        <v>306</v>
      </c>
      <c r="C102" s="12" t="s">
        <v>25</v>
      </c>
      <c r="D102" s="51"/>
      <c r="E102" s="51"/>
      <c r="F102" s="12"/>
      <c r="G102" s="12"/>
      <c r="H102" s="15"/>
      <c r="I102" s="15"/>
      <c r="J102" s="12"/>
      <c r="K102" s="12"/>
      <c r="L102" s="12"/>
      <c r="M102" s="12"/>
      <c r="N102" s="12"/>
      <c r="O102" s="12"/>
      <c r="P102" s="12"/>
      <c r="Q102" s="12"/>
    </row>
  </sheetData>
  <sheetProtection/>
  <mergeCells count="56">
    <mergeCell ref="B93:Q93"/>
    <mergeCell ref="B94:Q94"/>
    <mergeCell ref="B95:Q95"/>
    <mergeCell ref="D4:Q4"/>
    <mergeCell ref="A5:Q5"/>
    <mergeCell ref="B11:Q11"/>
    <mergeCell ref="B53:Q53"/>
    <mergeCell ref="B24:Q24"/>
    <mergeCell ref="B25:Q25"/>
    <mergeCell ref="A6:Q6"/>
    <mergeCell ref="A8:A9"/>
    <mergeCell ref="B8:B9"/>
    <mergeCell ref="C8:C9"/>
    <mergeCell ref="Q8:Q9"/>
    <mergeCell ref="D1:Q3"/>
    <mergeCell ref="D8:P8"/>
    <mergeCell ref="B26:Q26"/>
    <mergeCell ref="B12:Q12"/>
    <mergeCell ref="B13:Q13"/>
    <mergeCell ref="B15:Q15"/>
    <mergeCell ref="B37:Q37"/>
    <mergeCell ref="B38:Q38"/>
    <mergeCell ref="B17:Q17"/>
    <mergeCell ref="B18:K18"/>
    <mergeCell ref="B19:K19"/>
    <mergeCell ref="B21:K21"/>
    <mergeCell ref="B39:Q39"/>
    <mergeCell ref="B41:Q41"/>
    <mergeCell ref="B46:Q46"/>
    <mergeCell ref="B47:Q47"/>
    <mergeCell ref="B81:Q81"/>
    <mergeCell ref="B82:Q82"/>
    <mergeCell ref="B58:Q58"/>
    <mergeCell ref="B56:Q56"/>
    <mergeCell ref="B73:Q73"/>
    <mergeCell ref="B48:Q48"/>
    <mergeCell ref="B83:Q83"/>
    <mergeCell ref="B76:Q76"/>
    <mergeCell ref="B77:Q77"/>
    <mergeCell ref="B59:Q59"/>
    <mergeCell ref="B60:Q60"/>
    <mergeCell ref="B74:Q74"/>
    <mergeCell ref="B72:Q72"/>
    <mergeCell ref="B68:Q68"/>
    <mergeCell ref="B69:Q69"/>
    <mergeCell ref="B70:Q70"/>
    <mergeCell ref="B98:Q98"/>
    <mergeCell ref="B99:Q99"/>
    <mergeCell ref="B100:Q100"/>
    <mergeCell ref="B32:Q32"/>
    <mergeCell ref="B33:Q33"/>
    <mergeCell ref="B34:Q34"/>
    <mergeCell ref="B91:H91"/>
    <mergeCell ref="B87:Q87"/>
    <mergeCell ref="B88:Q88"/>
    <mergeCell ref="B86:Q86"/>
  </mergeCells>
  <printOptions/>
  <pageMargins left="0.3937007874015748" right="0.1968503937007874" top="0.3937007874015748" bottom="0.1968503937007874" header="0.31496062992125984" footer="0.31496062992125984"/>
  <pageSetup fitToHeight="10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9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4" sqref="A4:Q4"/>
    </sheetView>
  </sheetViews>
  <sheetFormatPr defaultColWidth="9.140625" defaultRowHeight="15" outlineLevelRow="1"/>
  <cols>
    <col min="1" max="1" width="8.57421875" style="4" customWidth="1"/>
    <col min="2" max="2" width="40.28125" style="45" customWidth="1"/>
    <col min="3" max="3" width="16.421875" style="109" customWidth="1"/>
    <col min="4" max="4" width="14.8515625" style="45" customWidth="1"/>
    <col min="5" max="5" width="14.7109375" style="45" customWidth="1"/>
    <col min="6" max="6" width="15.140625" style="148" customWidth="1"/>
    <col min="7" max="8" width="14.7109375" style="148" customWidth="1"/>
    <col min="9" max="9" width="14.421875" style="148" customWidth="1"/>
    <col min="10" max="16" width="14.421875" style="163" customWidth="1"/>
    <col min="17" max="17" width="22.8515625" style="46" customWidth="1"/>
    <col min="18" max="18" width="9.140625" style="45" customWidth="1"/>
    <col min="19" max="19" width="9.8515625" style="45" bestFit="1" customWidth="1"/>
    <col min="20" max="16384" width="9.140625" style="45" customWidth="1"/>
  </cols>
  <sheetData>
    <row r="1" spans="1:17" s="21" customFormat="1" ht="12.75">
      <c r="A1" s="20"/>
      <c r="B1" s="20"/>
      <c r="C1" s="103"/>
      <c r="D1" s="20"/>
      <c r="E1" s="20"/>
      <c r="F1" s="314" t="s">
        <v>446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8" s="21" customFormat="1" ht="12.75">
      <c r="A2" s="20"/>
      <c r="B2" s="20"/>
      <c r="C2" s="103"/>
      <c r="D2" s="20"/>
      <c r="E2" s="20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22"/>
    </row>
    <row r="3" spans="1:18" s="21" customFormat="1" ht="12.75">
      <c r="A3" s="20"/>
      <c r="B3" s="20"/>
      <c r="C3" s="103"/>
      <c r="D3" s="20"/>
      <c r="E3" s="20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22"/>
    </row>
    <row r="4" spans="1:17" s="4" customFormat="1" ht="15">
      <c r="A4" s="310" t="s">
        <v>60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7" s="4" customFormat="1" ht="15">
      <c r="A5" s="310" t="s">
        <v>61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</row>
    <row r="6" spans="1:17" s="4" customFormat="1" ht="15">
      <c r="A6" s="311" t="s">
        <v>444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</row>
    <row r="7" spans="1:17" s="4" customFormat="1" ht="15">
      <c r="A7" s="23"/>
      <c r="C7" s="104"/>
      <c r="F7" s="124"/>
      <c r="G7" s="124"/>
      <c r="H7" s="124"/>
      <c r="I7" s="124"/>
      <c r="J7" s="149"/>
      <c r="K7" s="149"/>
      <c r="L7" s="149"/>
      <c r="M7" s="149"/>
      <c r="N7" s="149"/>
      <c r="O7" s="149"/>
      <c r="P7" s="149"/>
      <c r="Q7" s="24"/>
    </row>
    <row r="8" spans="1:17" s="4" customFormat="1" ht="15">
      <c r="A8" s="315" t="s">
        <v>62</v>
      </c>
      <c r="B8" s="315" t="s">
        <v>63</v>
      </c>
      <c r="C8" s="316" t="s">
        <v>64</v>
      </c>
      <c r="D8" s="317"/>
      <c r="E8" s="317"/>
      <c r="F8" s="317"/>
      <c r="G8" s="317"/>
      <c r="H8" s="317"/>
      <c r="I8" s="317"/>
      <c r="J8" s="318"/>
      <c r="K8" s="318"/>
      <c r="L8" s="318"/>
      <c r="M8" s="319"/>
      <c r="N8" s="247"/>
      <c r="O8" s="247"/>
      <c r="P8" s="247"/>
      <c r="Q8" s="312" t="s">
        <v>65</v>
      </c>
    </row>
    <row r="9" spans="1:17" s="4" customFormat="1" ht="15">
      <c r="A9" s="315"/>
      <c r="B9" s="315"/>
      <c r="C9" s="105" t="s">
        <v>0</v>
      </c>
      <c r="D9" s="102">
        <v>2015</v>
      </c>
      <c r="E9" s="102">
        <v>2016</v>
      </c>
      <c r="F9" s="125">
        <v>2017</v>
      </c>
      <c r="G9" s="125">
        <v>2018</v>
      </c>
      <c r="H9" s="125">
        <v>2019</v>
      </c>
      <c r="I9" s="125">
        <v>2020</v>
      </c>
      <c r="J9" s="150">
        <v>2021</v>
      </c>
      <c r="K9" s="150">
        <v>2022</v>
      </c>
      <c r="L9" s="150">
        <v>2023</v>
      </c>
      <c r="M9" s="150">
        <v>2024</v>
      </c>
      <c r="N9" s="150">
        <v>2025</v>
      </c>
      <c r="O9" s="150">
        <v>2026</v>
      </c>
      <c r="P9" s="150">
        <v>2027</v>
      </c>
      <c r="Q9" s="313"/>
    </row>
    <row r="10" spans="1:17" s="4" customFormat="1" ht="15">
      <c r="A10" s="25">
        <v>1</v>
      </c>
      <c r="B10" s="25">
        <v>2</v>
      </c>
      <c r="C10" s="106">
        <v>3</v>
      </c>
      <c r="D10" s="25">
        <v>4</v>
      </c>
      <c r="E10" s="25">
        <v>5</v>
      </c>
      <c r="F10" s="126">
        <v>6</v>
      </c>
      <c r="G10" s="126">
        <v>7</v>
      </c>
      <c r="H10" s="126">
        <v>8</v>
      </c>
      <c r="I10" s="126">
        <v>9</v>
      </c>
      <c r="J10" s="151" t="s">
        <v>173</v>
      </c>
      <c r="K10" s="151" t="s">
        <v>265</v>
      </c>
      <c r="L10" s="151" t="s">
        <v>384</v>
      </c>
      <c r="M10" s="151" t="s">
        <v>385</v>
      </c>
      <c r="N10" s="151" t="s">
        <v>441</v>
      </c>
      <c r="O10" s="151" t="s">
        <v>442</v>
      </c>
      <c r="P10" s="151" t="s">
        <v>443</v>
      </c>
      <c r="Q10" s="12">
        <v>10</v>
      </c>
    </row>
    <row r="11" spans="1:17" s="4" customFormat="1" ht="30.75" outlineLevel="1">
      <c r="A11" s="12">
        <v>1</v>
      </c>
      <c r="B11" s="19" t="s">
        <v>66</v>
      </c>
      <c r="C11" s="97">
        <f aca="true" t="shared" si="0" ref="C11:C16">SUM(D11:P11)</f>
        <v>2526622.1925635</v>
      </c>
      <c r="D11" s="98">
        <f aca="true" t="shared" si="1" ref="D11:K11">SUM(D12:D16)</f>
        <v>43096.3</v>
      </c>
      <c r="E11" s="98">
        <f t="shared" si="1"/>
        <v>92042.06</v>
      </c>
      <c r="F11" s="127">
        <f t="shared" si="1"/>
        <v>90090.94524</v>
      </c>
      <c r="G11" s="127">
        <f t="shared" si="1"/>
        <v>74301.18088</v>
      </c>
      <c r="H11" s="127">
        <f t="shared" si="1"/>
        <v>285998.21518349997</v>
      </c>
      <c r="I11" s="127">
        <f t="shared" si="1"/>
        <v>338692.28342</v>
      </c>
      <c r="J11" s="127">
        <f t="shared" si="1"/>
        <v>186521.70006</v>
      </c>
      <c r="K11" s="127">
        <f t="shared" si="1"/>
        <v>551110.990312</v>
      </c>
      <c r="L11" s="97">
        <f>SUM(L12:L16)</f>
        <v>726350.325468</v>
      </c>
      <c r="M11" s="97">
        <f>SUM(M12:M16)</f>
        <v>138418.192</v>
      </c>
      <c r="N11" s="97">
        <f>SUM(N12:N16)</f>
        <v>0</v>
      </c>
      <c r="O11" s="97">
        <f>SUM(O12:O16)</f>
        <v>0</v>
      </c>
      <c r="P11" s="97">
        <f>SUM(P12:P16)</f>
        <v>0</v>
      </c>
      <c r="Q11" s="26" t="s">
        <v>67</v>
      </c>
    </row>
    <row r="12" spans="1:17" s="4" customFormat="1" ht="15" outlineLevel="1">
      <c r="A12" s="12">
        <v>2</v>
      </c>
      <c r="B12" s="1" t="s">
        <v>3</v>
      </c>
      <c r="C12" s="97">
        <f t="shared" si="0"/>
        <v>348423.05778349994</v>
      </c>
      <c r="D12" s="99">
        <f>SUM(D19,D25)</f>
        <v>13260.3</v>
      </c>
      <c r="E12" s="99">
        <f aca="true" t="shared" si="2" ref="D12:I15">SUM(E19,E25)</f>
        <v>11201.96</v>
      </c>
      <c r="F12" s="93">
        <f t="shared" si="2"/>
        <v>19727.716440000004</v>
      </c>
      <c r="G12" s="93">
        <f>SUM(G19,G25)</f>
        <v>33362.18088</v>
      </c>
      <c r="H12" s="93">
        <f t="shared" si="2"/>
        <v>31108.747683499994</v>
      </c>
      <c r="I12" s="93">
        <f t="shared" si="2"/>
        <v>55680.51071999999</v>
      </c>
      <c r="J12" s="93">
        <f aca="true" t="shared" si="3" ref="J12:K15">SUM(J19,J25)</f>
        <v>48279.20006</v>
      </c>
      <c r="K12" s="93">
        <f t="shared" si="3"/>
        <v>35999.122</v>
      </c>
      <c r="L12" s="92">
        <f aca="true" t="shared" si="4" ref="L12:M15">SUM(L19,L25)</f>
        <v>77187.698</v>
      </c>
      <c r="M12" s="92">
        <f t="shared" si="4"/>
        <v>22615.622000000003</v>
      </c>
      <c r="N12" s="92">
        <f aca="true" t="shared" si="5" ref="N12:P15">SUM(N19,N25)</f>
        <v>0</v>
      </c>
      <c r="O12" s="92">
        <f t="shared" si="5"/>
        <v>0</v>
      </c>
      <c r="P12" s="92">
        <f t="shared" si="5"/>
        <v>0</v>
      </c>
      <c r="Q12" s="26" t="s">
        <v>67</v>
      </c>
    </row>
    <row r="13" spans="1:17" s="4" customFormat="1" ht="15" outlineLevel="1">
      <c r="A13" s="12">
        <v>3</v>
      </c>
      <c r="B13" s="1" t="s">
        <v>1</v>
      </c>
      <c r="C13" s="97">
        <f t="shared" si="0"/>
        <v>83812.5</v>
      </c>
      <c r="D13" s="99">
        <f t="shared" si="2"/>
        <v>7078</v>
      </c>
      <c r="E13" s="99">
        <f t="shared" si="2"/>
        <v>19073.1</v>
      </c>
      <c r="F13" s="93">
        <f>SUM(F20,F26)</f>
        <v>9302</v>
      </c>
      <c r="G13" s="93">
        <f t="shared" si="2"/>
        <v>7319</v>
      </c>
      <c r="H13" s="93">
        <f t="shared" si="2"/>
        <v>6651.5</v>
      </c>
      <c r="I13" s="93">
        <f t="shared" si="2"/>
        <v>6749.2</v>
      </c>
      <c r="J13" s="93">
        <f t="shared" si="3"/>
        <v>7300</v>
      </c>
      <c r="K13" s="93">
        <f t="shared" si="3"/>
        <v>6780.5</v>
      </c>
      <c r="L13" s="92">
        <f t="shared" si="4"/>
        <v>6779.6</v>
      </c>
      <c r="M13" s="92">
        <f t="shared" si="4"/>
        <v>6779.6</v>
      </c>
      <c r="N13" s="92">
        <f t="shared" si="5"/>
        <v>0</v>
      </c>
      <c r="O13" s="92">
        <f t="shared" si="5"/>
        <v>0</v>
      </c>
      <c r="P13" s="92">
        <f t="shared" si="5"/>
        <v>0</v>
      </c>
      <c r="Q13" s="26" t="s">
        <v>67</v>
      </c>
    </row>
    <row r="14" spans="1:17" s="4" customFormat="1" ht="15" outlineLevel="1">
      <c r="A14" s="12">
        <v>4</v>
      </c>
      <c r="B14" s="1" t="s">
        <v>2</v>
      </c>
      <c r="C14" s="97">
        <f t="shared" si="0"/>
        <v>1171403.2539600001</v>
      </c>
      <c r="D14" s="99">
        <f t="shared" si="2"/>
        <v>22758</v>
      </c>
      <c r="E14" s="99">
        <f t="shared" si="2"/>
        <v>61767</v>
      </c>
      <c r="F14" s="93">
        <f t="shared" si="2"/>
        <v>60966.51376</v>
      </c>
      <c r="G14" s="93">
        <f t="shared" si="2"/>
        <v>33620</v>
      </c>
      <c r="H14" s="93">
        <f t="shared" si="2"/>
        <v>248237.9675</v>
      </c>
      <c r="I14" s="93">
        <f t="shared" si="2"/>
        <v>276262.5727</v>
      </c>
      <c r="J14" s="93">
        <f t="shared" si="3"/>
        <v>130942.5</v>
      </c>
      <c r="K14" s="93">
        <f t="shared" si="3"/>
        <v>218968.5</v>
      </c>
      <c r="L14" s="92">
        <f t="shared" si="4"/>
        <v>87663</v>
      </c>
      <c r="M14" s="92">
        <f t="shared" si="4"/>
        <v>30217.2</v>
      </c>
      <c r="N14" s="92">
        <f t="shared" si="5"/>
        <v>0</v>
      </c>
      <c r="O14" s="92">
        <f t="shared" si="5"/>
        <v>0</v>
      </c>
      <c r="P14" s="92">
        <f t="shared" si="5"/>
        <v>0</v>
      </c>
      <c r="Q14" s="26" t="s">
        <v>67</v>
      </c>
    </row>
    <row r="15" spans="1:17" s="4" customFormat="1" ht="15" outlineLevel="1">
      <c r="A15" s="12">
        <v>5</v>
      </c>
      <c r="B15" s="1" t="s">
        <v>4</v>
      </c>
      <c r="C15" s="97">
        <f t="shared" si="0"/>
        <v>922888.6657799999</v>
      </c>
      <c r="D15" s="99">
        <f t="shared" si="2"/>
        <v>0</v>
      </c>
      <c r="E15" s="99">
        <f t="shared" si="2"/>
        <v>0</v>
      </c>
      <c r="F15" s="93">
        <f t="shared" si="2"/>
        <v>0</v>
      </c>
      <c r="G15" s="93">
        <f t="shared" si="2"/>
        <v>0</v>
      </c>
      <c r="H15" s="93">
        <f t="shared" si="2"/>
        <v>0</v>
      </c>
      <c r="I15" s="93">
        <f t="shared" si="2"/>
        <v>0</v>
      </c>
      <c r="J15" s="93">
        <f t="shared" si="3"/>
        <v>0</v>
      </c>
      <c r="K15" s="93">
        <f t="shared" si="3"/>
        <v>289362.868312</v>
      </c>
      <c r="L15" s="92">
        <f t="shared" si="4"/>
        <v>554720.027468</v>
      </c>
      <c r="M15" s="92">
        <f t="shared" si="4"/>
        <v>78805.77</v>
      </c>
      <c r="N15" s="92">
        <f t="shared" si="5"/>
        <v>0</v>
      </c>
      <c r="O15" s="92">
        <f t="shared" si="5"/>
        <v>0</v>
      </c>
      <c r="P15" s="92">
        <f t="shared" si="5"/>
        <v>0</v>
      </c>
      <c r="Q15" s="26" t="s">
        <v>67</v>
      </c>
    </row>
    <row r="16" spans="1:17" s="4" customFormat="1" ht="15" outlineLevel="1">
      <c r="A16" s="12">
        <v>6</v>
      </c>
      <c r="B16" s="52" t="s">
        <v>123</v>
      </c>
      <c r="C16" s="97">
        <f t="shared" si="0"/>
        <v>94.71504</v>
      </c>
      <c r="D16" s="100">
        <f aca="true" t="shared" si="6" ref="D16:I16">D29</f>
        <v>0</v>
      </c>
      <c r="E16" s="100">
        <f t="shared" si="6"/>
        <v>0</v>
      </c>
      <c r="F16" s="128">
        <f>F29</f>
        <v>94.71504</v>
      </c>
      <c r="G16" s="128">
        <f t="shared" si="6"/>
        <v>0</v>
      </c>
      <c r="H16" s="128">
        <f t="shared" si="6"/>
        <v>0</v>
      </c>
      <c r="I16" s="128">
        <f t="shared" si="6"/>
        <v>0</v>
      </c>
      <c r="J16" s="128">
        <f aca="true" t="shared" si="7" ref="J16:P16">J29</f>
        <v>0</v>
      </c>
      <c r="K16" s="128">
        <f t="shared" si="7"/>
        <v>0</v>
      </c>
      <c r="L16" s="152">
        <f t="shared" si="7"/>
        <v>0</v>
      </c>
      <c r="M16" s="152">
        <f t="shared" si="7"/>
        <v>0</v>
      </c>
      <c r="N16" s="152">
        <f t="shared" si="7"/>
        <v>0</v>
      </c>
      <c r="O16" s="152">
        <f t="shared" si="7"/>
        <v>0</v>
      </c>
      <c r="P16" s="152">
        <f t="shared" si="7"/>
        <v>0</v>
      </c>
      <c r="Q16" s="53"/>
    </row>
    <row r="17" spans="1:17" s="4" customFormat="1" ht="15" outlineLevel="1">
      <c r="A17" s="12">
        <v>7</v>
      </c>
      <c r="B17" s="278" t="s">
        <v>68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99"/>
    </row>
    <row r="18" spans="1:17" s="4" customFormat="1" ht="30.75" outlineLevel="1">
      <c r="A18" s="12">
        <v>8</v>
      </c>
      <c r="B18" s="1" t="s">
        <v>69</v>
      </c>
      <c r="C18" s="90">
        <f>SUM(D18:P18)</f>
        <v>1968512.4831335</v>
      </c>
      <c r="D18" s="112">
        <f aca="true" t="shared" si="8" ref="D18:I18">SUM(D19:D22)</f>
        <v>6626.2</v>
      </c>
      <c r="E18" s="112">
        <f t="shared" si="8"/>
        <v>51654.06</v>
      </c>
      <c r="F18" s="129">
        <f>SUM(F19:F22)</f>
        <v>6291.34</v>
      </c>
      <c r="G18" s="129">
        <f t="shared" si="8"/>
        <v>14785.813999999998</v>
      </c>
      <c r="H18" s="129">
        <f t="shared" si="8"/>
        <v>219143.5246235</v>
      </c>
      <c r="I18" s="129">
        <f t="shared" si="8"/>
        <v>277462.02163</v>
      </c>
      <c r="J18" s="153">
        <f aca="true" t="shared" si="9" ref="J18:P18">SUM(J19:J22)</f>
        <v>138414.9111</v>
      </c>
      <c r="K18" s="153">
        <f t="shared" si="9"/>
        <v>501105.412312</v>
      </c>
      <c r="L18" s="153">
        <f t="shared" si="9"/>
        <v>674223.429468</v>
      </c>
      <c r="M18" s="153">
        <f t="shared" si="9"/>
        <v>78805.77</v>
      </c>
      <c r="N18" s="153">
        <f t="shared" si="9"/>
        <v>0</v>
      </c>
      <c r="O18" s="153">
        <f t="shared" si="9"/>
        <v>0</v>
      </c>
      <c r="P18" s="153">
        <f t="shared" si="9"/>
        <v>0</v>
      </c>
      <c r="Q18" s="26" t="s">
        <v>67</v>
      </c>
    </row>
    <row r="19" spans="1:17" s="4" customFormat="1" ht="15" outlineLevel="1">
      <c r="A19" s="12">
        <v>9</v>
      </c>
      <c r="B19" s="1" t="s">
        <v>3</v>
      </c>
      <c r="C19" s="90">
        <f>SUM(D19:P19)</f>
        <v>192924.7671535</v>
      </c>
      <c r="D19" s="113">
        <f aca="true" t="shared" si="10" ref="D19:M19">SUM(D38,D60,D88,D110,D137,D380,D474,D496,D554,D581)</f>
        <v>6626.2</v>
      </c>
      <c r="E19" s="113">
        <f t="shared" si="10"/>
        <v>6253.96</v>
      </c>
      <c r="F19" s="113">
        <f t="shared" si="10"/>
        <v>6291.34</v>
      </c>
      <c r="G19" s="113">
        <f t="shared" si="10"/>
        <v>11930.614</v>
      </c>
      <c r="H19" s="111">
        <f t="shared" si="10"/>
        <v>13905.647123499999</v>
      </c>
      <c r="I19" s="111">
        <f t="shared" si="10"/>
        <v>28782.648929999996</v>
      </c>
      <c r="J19" s="113">
        <f t="shared" si="10"/>
        <v>37175.3111</v>
      </c>
      <c r="K19" s="113">
        <f t="shared" si="10"/>
        <v>20887.444000000003</v>
      </c>
      <c r="L19" s="113">
        <f t="shared" si="10"/>
        <v>61071.602</v>
      </c>
      <c r="M19" s="113">
        <f t="shared" si="10"/>
        <v>0</v>
      </c>
      <c r="N19" s="113">
        <f aca="true" t="shared" si="11" ref="N19:P22">SUM(N38,N60,N88,N110,N137,N380,N474,N496,N554,N581)</f>
        <v>0</v>
      </c>
      <c r="O19" s="113">
        <f t="shared" si="11"/>
        <v>0</v>
      </c>
      <c r="P19" s="113">
        <f t="shared" si="11"/>
        <v>0</v>
      </c>
      <c r="Q19" s="26" t="s">
        <v>67</v>
      </c>
    </row>
    <row r="20" spans="1:17" s="4" customFormat="1" ht="15" outlineLevel="1">
      <c r="A20" s="12">
        <v>10</v>
      </c>
      <c r="B20" s="1" t="s">
        <v>1</v>
      </c>
      <c r="C20" s="90">
        <f>SUM(D20:P20)</f>
        <v>10404.1</v>
      </c>
      <c r="D20" s="113">
        <f aca="true" t="shared" si="12" ref="D20:M20">SUM(D39,D61,D89,D111,D138,D381,D475,D497,D555,D582)</f>
        <v>0</v>
      </c>
      <c r="E20" s="113">
        <f t="shared" si="12"/>
        <v>10404.1</v>
      </c>
      <c r="F20" s="113">
        <f t="shared" si="12"/>
        <v>0</v>
      </c>
      <c r="G20" s="113">
        <f t="shared" si="12"/>
        <v>0</v>
      </c>
      <c r="H20" s="111">
        <f t="shared" si="12"/>
        <v>0</v>
      </c>
      <c r="I20" s="111">
        <f t="shared" si="12"/>
        <v>0</v>
      </c>
      <c r="J20" s="113">
        <f t="shared" si="12"/>
        <v>0</v>
      </c>
      <c r="K20" s="113">
        <f t="shared" si="12"/>
        <v>0</v>
      </c>
      <c r="L20" s="113">
        <f t="shared" si="12"/>
        <v>0</v>
      </c>
      <c r="M20" s="113">
        <f t="shared" si="12"/>
        <v>0</v>
      </c>
      <c r="N20" s="113">
        <f t="shared" si="11"/>
        <v>0</v>
      </c>
      <c r="O20" s="113">
        <f t="shared" si="11"/>
        <v>0</v>
      </c>
      <c r="P20" s="113">
        <f t="shared" si="11"/>
        <v>0</v>
      </c>
      <c r="Q20" s="26" t="s">
        <v>67</v>
      </c>
    </row>
    <row r="21" spans="1:17" s="4" customFormat="1" ht="15" outlineLevel="1">
      <c r="A21" s="12">
        <v>11</v>
      </c>
      <c r="B21" s="1" t="s">
        <v>2</v>
      </c>
      <c r="C21" s="90">
        <f>SUM(D21:P21)</f>
        <v>842294.9502000001</v>
      </c>
      <c r="D21" s="113">
        <f aca="true" t="shared" si="13" ref="D21:M21">SUM(D40,D62,D90,D112,D139,D382,D476,D498,D556,D583)</f>
        <v>0</v>
      </c>
      <c r="E21" s="113">
        <f t="shared" si="13"/>
        <v>34996</v>
      </c>
      <c r="F21" s="113">
        <f t="shared" si="13"/>
        <v>0</v>
      </c>
      <c r="G21" s="113">
        <f t="shared" si="13"/>
        <v>2855.2</v>
      </c>
      <c r="H21" s="111">
        <f t="shared" si="13"/>
        <v>205237.8775</v>
      </c>
      <c r="I21" s="111">
        <f t="shared" si="13"/>
        <v>248679.3727</v>
      </c>
      <c r="J21" s="113">
        <f t="shared" si="13"/>
        <v>101239.6</v>
      </c>
      <c r="K21" s="113">
        <f t="shared" si="13"/>
        <v>190855.1</v>
      </c>
      <c r="L21" s="113">
        <f t="shared" si="13"/>
        <v>58431.8</v>
      </c>
      <c r="M21" s="113">
        <f t="shared" si="13"/>
        <v>0</v>
      </c>
      <c r="N21" s="113">
        <f t="shared" si="11"/>
        <v>0</v>
      </c>
      <c r="O21" s="113">
        <f t="shared" si="11"/>
        <v>0</v>
      </c>
      <c r="P21" s="113">
        <f t="shared" si="11"/>
        <v>0</v>
      </c>
      <c r="Q21" s="26" t="s">
        <v>67</v>
      </c>
    </row>
    <row r="22" spans="1:17" s="4" customFormat="1" ht="15" outlineLevel="1">
      <c r="A22" s="12">
        <v>12</v>
      </c>
      <c r="B22" s="1" t="s">
        <v>4</v>
      </c>
      <c r="C22" s="90">
        <f>SUM(D22:P22)</f>
        <v>922888.6657799999</v>
      </c>
      <c r="D22" s="113">
        <f aca="true" t="shared" si="14" ref="D22:M22">SUM(D41,D63,D91,D113,D140,D383,D477,D499,D557,D584)</f>
        <v>0</v>
      </c>
      <c r="E22" s="113">
        <f t="shared" si="14"/>
        <v>0</v>
      </c>
      <c r="F22" s="113">
        <f t="shared" si="14"/>
        <v>0</v>
      </c>
      <c r="G22" s="113">
        <f t="shared" si="14"/>
        <v>0</v>
      </c>
      <c r="H22" s="111">
        <f t="shared" si="14"/>
        <v>0</v>
      </c>
      <c r="I22" s="111">
        <f t="shared" si="14"/>
        <v>0</v>
      </c>
      <c r="J22" s="113">
        <f t="shared" si="14"/>
        <v>0</v>
      </c>
      <c r="K22" s="113">
        <f t="shared" si="14"/>
        <v>289362.868312</v>
      </c>
      <c r="L22" s="113">
        <f t="shared" si="14"/>
        <v>554720.027468</v>
      </c>
      <c r="M22" s="113">
        <f t="shared" si="14"/>
        <v>78805.77</v>
      </c>
      <c r="N22" s="113">
        <f t="shared" si="11"/>
        <v>0</v>
      </c>
      <c r="O22" s="113">
        <f t="shared" si="11"/>
        <v>0</v>
      </c>
      <c r="P22" s="113">
        <f t="shared" si="11"/>
        <v>0</v>
      </c>
      <c r="Q22" s="26"/>
    </row>
    <row r="23" spans="1:17" s="4" customFormat="1" ht="15" outlineLevel="1">
      <c r="A23" s="12">
        <v>13</v>
      </c>
      <c r="B23" s="257" t="s">
        <v>70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</row>
    <row r="24" spans="1:17" s="4" customFormat="1" ht="30.75" outlineLevel="1">
      <c r="A24" s="12">
        <v>14</v>
      </c>
      <c r="B24" s="1" t="s">
        <v>71</v>
      </c>
      <c r="C24" s="90">
        <f>SUM(D24:P24)</f>
        <v>558109.70943</v>
      </c>
      <c r="D24" s="98">
        <f aca="true" t="shared" si="15" ref="D24:I24">SUM(D25:D29)</f>
        <v>36470.1</v>
      </c>
      <c r="E24" s="98">
        <f t="shared" si="15"/>
        <v>40388</v>
      </c>
      <c r="F24" s="127">
        <f t="shared" si="15"/>
        <v>83799.60524</v>
      </c>
      <c r="G24" s="127">
        <f t="shared" si="15"/>
        <v>59515.36688</v>
      </c>
      <c r="H24" s="127">
        <f t="shared" si="15"/>
        <v>66854.69056</v>
      </c>
      <c r="I24" s="127">
        <f t="shared" si="15"/>
        <v>61230.261790000004</v>
      </c>
      <c r="J24" s="97">
        <f aca="true" t="shared" si="16" ref="J24:P24">SUM(J25:J29)</f>
        <v>48106.788960000005</v>
      </c>
      <c r="K24" s="97">
        <f t="shared" si="16"/>
        <v>50005.578</v>
      </c>
      <c r="L24" s="97">
        <f t="shared" si="16"/>
        <v>52126.89600000001</v>
      </c>
      <c r="M24" s="97">
        <f t="shared" si="16"/>
        <v>59612.422000000006</v>
      </c>
      <c r="N24" s="97">
        <f t="shared" si="16"/>
        <v>0</v>
      </c>
      <c r="O24" s="97">
        <f t="shared" si="16"/>
        <v>0</v>
      </c>
      <c r="P24" s="97">
        <f t="shared" si="16"/>
        <v>0</v>
      </c>
      <c r="Q24" s="26" t="s">
        <v>67</v>
      </c>
    </row>
    <row r="25" spans="1:17" s="4" customFormat="1" ht="15" outlineLevel="1">
      <c r="A25" s="12">
        <v>15</v>
      </c>
      <c r="B25" s="1" t="s">
        <v>3</v>
      </c>
      <c r="C25" s="90">
        <f aca="true" t="shared" si="17" ref="C25:C88">SUM(D25:P25)</f>
        <v>155498.29063</v>
      </c>
      <c r="D25" s="99">
        <f aca="true" t="shared" si="18" ref="D25:M25">SUM(D173,D295,D437,D519,D71)</f>
        <v>6634.1</v>
      </c>
      <c r="E25" s="99">
        <f t="shared" si="18"/>
        <v>4948</v>
      </c>
      <c r="F25" s="99">
        <f t="shared" si="18"/>
        <v>13436.376440000004</v>
      </c>
      <c r="G25" s="99">
        <f t="shared" si="18"/>
        <v>21431.566880000002</v>
      </c>
      <c r="H25" s="210">
        <f t="shared" si="18"/>
        <v>17203.100559999995</v>
      </c>
      <c r="I25" s="210">
        <f t="shared" si="18"/>
        <v>26897.86179</v>
      </c>
      <c r="J25" s="99">
        <f t="shared" si="18"/>
        <v>11103.88896</v>
      </c>
      <c r="K25" s="99">
        <f t="shared" si="18"/>
        <v>15111.678</v>
      </c>
      <c r="L25" s="99">
        <f t="shared" si="18"/>
        <v>16116.096000000001</v>
      </c>
      <c r="M25" s="99">
        <f t="shared" si="18"/>
        <v>22615.622000000003</v>
      </c>
      <c r="N25" s="99">
        <f aca="true" t="shared" si="19" ref="N25:P28">SUM(N173,N295,N437,N519,N71)</f>
        <v>0</v>
      </c>
      <c r="O25" s="99">
        <f t="shared" si="19"/>
        <v>0</v>
      </c>
      <c r="P25" s="99">
        <f t="shared" si="19"/>
        <v>0</v>
      </c>
      <c r="Q25" s="26" t="s">
        <v>67</v>
      </c>
    </row>
    <row r="26" spans="1:17" s="4" customFormat="1" ht="15" outlineLevel="1">
      <c r="A26" s="12">
        <v>16</v>
      </c>
      <c r="B26" s="1" t="s">
        <v>1</v>
      </c>
      <c r="C26" s="90">
        <f t="shared" si="17"/>
        <v>73408.40000000001</v>
      </c>
      <c r="D26" s="99">
        <f aca="true" t="shared" si="20" ref="D26:M26">SUM(D174,D296,D438,D520,D72)</f>
        <v>7078</v>
      </c>
      <c r="E26" s="99">
        <f t="shared" si="20"/>
        <v>8669</v>
      </c>
      <c r="F26" s="99">
        <f t="shared" si="20"/>
        <v>9302</v>
      </c>
      <c r="G26" s="99">
        <f t="shared" si="20"/>
        <v>7319</v>
      </c>
      <c r="H26" s="210">
        <f t="shared" si="20"/>
        <v>6651.5</v>
      </c>
      <c r="I26" s="210">
        <f t="shared" si="20"/>
        <v>6749.2</v>
      </c>
      <c r="J26" s="99">
        <f t="shared" si="20"/>
        <v>7300</v>
      </c>
      <c r="K26" s="99">
        <f t="shared" si="20"/>
        <v>6780.5</v>
      </c>
      <c r="L26" s="99">
        <f t="shared" si="20"/>
        <v>6779.6</v>
      </c>
      <c r="M26" s="99">
        <f t="shared" si="20"/>
        <v>6779.6</v>
      </c>
      <c r="N26" s="99">
        <f t="shared" si="19"/>
        <v>0</v>
      </c>
      <c r="O26" s="99">
        <f t="shared" si="19"/>
        <v>0</v>
      </c>
      <c r="P26" s="99">
        <f t="shared" si="19"/>
        <v>0</v>
      </c>
      <c r="Q26" s="26" t="s">
        <v>67</v>
      </c>
    </row>
    <row r="27" spans="1:17" s="4" customFormat="1" ht="15" outlineLevel="1">
      <c r="A27" s="12">
        <v>17</v>
      </c>
      <c r="B27" s="1" t="s">
        <v>2</v>
      </c>
      <c r="C27" s="90">
        <f t="shared" si="17"/>
        <v>329108.30376000004</v>
      </c>
      <c r="D27" s="99">
        <f aca="true" t="shared" si="21" ref="D27:M27">SUM(D175,D297,D439,D521,D73)</f>
        <v>22758</v>
      </c>
      <c r="E27" s="99">
        <f t="shared" si="21"/>
        <v>26771</v>
      </c>
      <c r="F27" s="99">
        <f t="shared" si="21"/>
        <v>60966.51376</v>
      </c>
      <c r="G27" s="99">
        <f t="shared" si="21"/>
        <v>30764.8</v>
      </c>
      <c r="H27" s="210">
        <f t="shared" si="21"/>
        <v>43000.090000000004</v>
      </c>
      <c r="I27" s="210">
        <f t="shared" si="21"/>
        <v>27583.2</v>
      </c>
      <c r="J27" s="99">
        <f t="shared" si="21"/>
        <v>29702.9</v>
      </c>
      <c r="K27" s="99">
        <f t="shared" si="21"/>
        <v>28113.4</v>
      </c>
      <c r="L27" s="99">
        <f t="shared" si="21"/>
        <v>29231.2</v>
      </c>
      <c r="M27" s="99">
        <f t="shared" si="21"/>
        <v>30217.2</v>
      </c>
      <c r="N27" s="99">
        <f t="shared" si="19"/>
        <v>0</v>
      </c>
      <c r="O27" s="99">
        <f t="shared" si="19"/>
        <v>0</v>
      </c>
      <c r="P27" s="99">
        <f t="shared" si="19"/>
        <v>0</v>
      </c>
      <c r="Q27" s="26" t="s">
        <v>67</v>
      </c>
    </row>
    <row r="28" spans="1:17" s="4" customFormat="1" ht="15" outlineLevel="1">
      <c r="A28" s="12">
        <v>18</v>
      </c>
      <c r="B28" s="1" t="s">
        <v>4</v>
      </c>
      <c r="C28" s="90">
        <f t="shared" si="17"/>
        <v>0</v>
      </c>
      <c r="D28" s="99">
        <f aca="true" t="shared" si="22" ref="D28:M28">SUM(D176,D298,D440,D522,D74)</f>
        <v>0</v>
      </c>
      <c r="E28" s="99">
        <f t="shared" si="22"/>
        <v>0</v>
      </c>
      <c r="F28" s="99">
        <f t="shared" si="22"/>
        <v>0</v>
      </c>
      <c r="G28" s="99">
        <f t="shared" si="22"/>
        <v>0</v>
      </c>
      <c r="H28" s="210">
        <f t="shared" si="22"/>
        <v>0</v>
      </c>
      <c r="I28" s="210">
        <f t="shared" si="22"/>
        <v>0</v>
      </c>
      <c r="J28" s="99">
        <f t="shared" si="22"/>
        <v>0</v>
      </c>
      <c r="K28" s="99">
        <f t="shared" si="22"/>
        <v>0</v>
      </c>
      <c r="L28" s="99">
        <f t="shared" si="22"/>
        <v>0</v>
      </c>
      <c r="M28" s="99">
        <f t="shared" si="22"/>
        <v>0</v>
      </c>
      <c r="N28" s="99">
        <f t="shared" si="19"/>
        <v>0</v>
      </c>
      <c r="O28" s="99">
        <f t="shared" si="19"/>
        <v>0</v>
      </c>
      <c r="P28" s="99">
        <f t="shared" si="19"/>
        <v>0</v>
      </c>
      <c r="Q28" s="53" t="s">
        <v>67</v>
      </c>
    </row>
    <row r="29" spans="1:17" s="4" customFormat="1" ht="15" outlineLevel="1">
      <c r="A29" s="12">
        <v>19</v>
      </c>
      <c r="B29" s="1" t="s">
        <v>123</v>
      </c>
      <c r="C29" s="90">
        <f t="shared" si="17"/>
        <v>94.71504</v>
      </c>
      <c r="D29" s="99">
        <f aca="true" t="shared" si="23" ref="D29:I29">D523</f>
        <v>0</v>
      </c>
      <c r="E29" s="99">
        <f t="shared" si="23"/>
        <v>0</v>
      </c>
      <c r="F29" s="93">
        <f t="shared" si="23"/>
        <v>94.71504</v>
      </c>
      <c r="G29" s="93">
        <f t="shared" si="23"/>
        <v>0</v>
      </c>
      <c r="H29" s="93">
        <f t="shared" si="23"/>
        <v>0</v>
      </c>
      <c r="I29" s="93">
        <f t="shared" si="23"/>
        <v>0</v>
      </c>
      <c r="J29" s="92">
        <f aca="true" t="shared" si="24" ref="J29:P29">J523</f>
        <v>0</v>
      </c>
      <c r="K29" s="92">
        <f t="shared" si="24"/>
        <v>0</v>
      </c>
      <c r="L29" s="92">
        <f t="shared" si="24"/>
        <v>0</v>
      </c>
      <c r="M29" s="92">
        <f t="shared" si="24"/>
        <v>0</v>
      </c>
      <c r="N29" s="92">
        <f t="shared" si="24"/>
        <v>0</v>
      </c>
      <c r="O29" s="92">
        <f t="shared" si="24"/>
        <v>0</v>
      </c>
      <c r="P29" s="92">
        <f t="shared" si="24"/>
        <v>0</v>
      </c>
      <c r="Q29" s="53"/>
    </row>
    <row r="30" spans="1:17" s="4" customFormat="1" ht="15" outlineLevel="1">
      <c r="A30" s="12">
        <v>20</v>
      </c>
      <c r="B30" s="248" t="s">
        <v>5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50"/>
    </row>
    <row r="31" spans="1:17" s="4" customFormat="1" ht="15" outlineLevel="1">
      <c r="A31" s="12">
        <v>21</v>
      </c>
      <c r="B31" s="1" t="s">
        <v>72</v>
      </c>
      <c r="C31" s="90">
        <f t="shared" si="17"/>
        <v>344975.55</v>
      </c>
      <c r="D31" s="66">
        <f aca="true" t="shared" si="25" ref="D31:I31">SUM(D32:D35)</f>
        <v>3435</v>
      </c>
      <c r="E31" s="27">
        <f t="shared" si="25"/>
        <v>0</v>
      </c>
      <c r="F31" s="130">
        <f t="shared" si="25"/>
        <v>0</v>
      </c>
      <c r="G31" s="130">
        <f t="shared" si="25"/>
        <v>0</v>
      </c>
      <c r="H31" s="67">
        <f>SUM(H32:H35)</f>
        <v>25</v>
      </c>
      <c r="I31" s="67">
        <f t="shared" si="25"/>
        <v>25</v>
      </c>
      <c r="J31" s="66">
        <f aca="true" t="shared" si="26" ref="J31:P31">SUM(J32:J35)</f>
        <v>0</v>
      </c>
      <c r="K31" s="66">
        <f t="shared" si="26"/>
        <v>105073.23</v>
      </c>
      <c r="L31" s="67">
        <f t="shared" si="26"/>
        <v>157611.55</v>
      </c>
      <c r="M31" s="67">
        <f t="shared" si="26"/>
        <v>78805.77</v>
      </c>
      <c r="N31" s="67">
        <f t="shared" si="26"/>
        <v>0</v>
      </c>
      <c r="O31" s="67">
        <f t="shared" si="26"/>
        <v>0</v>
      </c>
      <c r="P31" s="67">
        <f t="shared" si="26"/>
        <v>0</v>
      </c>
      <c r="Q31" s="26" t="s">
        <v>67</v>
      </c>
    </row>
    <row r="32" spans="1:17" s="4" customFormat="1" ht="15" outlineLevel="1">
      <c r="A32" s="12">
        <v>22</v>
      </c>
      <c r="B32" s="1" t="s">
        <v>3</v>
      </c>
      <c r="C32" s="90">
        <f>SUM(D32:P32)</f>
        <v>3485</v>
      </c>
      <c r="D32" s="113">
        <f aca="true" t="shared" si="27" ref="D32:I35">D38</f>
        <v>3435</v>
      </c>
      <c r="E32" s="28">
        <f t="shared" si="27"/>
        <v>0</v>
      </c>
      <c r="F32" s="59">
        <f t="shared" si="27"/>
        <v>0</v>
      </c>
      <c r="G32" s="59">
        <f t="shared" si="27"/>
        <v>0</v>
      </c>
      <c r="H32" s="69">
        <f>H38</f>
        <v>25</v>
      </c>
      <c r="I32" s="69">
        <f t="shared" si="27"/>
        <v>25</v>
      </c>
      <c r="J32" s="68">
        <f aca="true" t="shared" si="28" ref="J32:M35">J38</f>
        <v>0</v>
      </c>
      <c r="K32" s="68">
        <f t="shared" si="28"/>
        <v>0</v>
      </c>
      <c r="L32" s="69">
        <f t="shared" si="28"/>
        <v>0</v>
      </c>
      <c r="M32" s="59">
        <f t="shared" si="28"/>
        <v>0</v>
      </c>
      <c r="N32" s="59">
        <f aca="true" t="shared" si="29" ref="N32:P35">N38</f>
        <v>0</v>
      </c>
      <c r="O32" s="59">
        <f t="shared" si="29"/>
        <v>0</v>
      </c>
      <c r="P32" s="59">
        <f t="shared" si="29"/>
        <v>0</v>
      </c>
      <c r="Q32" s="26" t="s">
        <v>67</v>
      </c>
    </row>
    <row r="33" spans="1:17" s="4" customFormat="1" ht="15" outlineLevel="1">
      <c r="A33" s="12">
        <v>23</v>
      </c>
      <c r="B33" s="1" t="s">
        <v>1</v>
      </c>
      <c r="C33" s="90">
        <f t="shared" si="17"/>
        <v>0</v>
      </c>
      <c r="D33" s="113">
        <f t="shared" si="27"/>
        <v>0</v>
      </c>
      <c r="E33" s="28">
        <f t="shared" si="27"/>
        <v>0</v>
      </c>
      <c r="F33" s="59">
        <f t="shared" si="27"/>
        <v>0</v>
      </c>
      <c r="G33" s="59">
        <f t="shared" si="27"/>
        <v>0</v>
      </c>
      <c r="H33" s="69">
        <f>H39</f>
        <v>0</v>
      </c>
      <c r="I33" s="69">
        <f t="shared" si="27"/>
        <v>0</v>
      </c>
      <c r="J33" s="68">
        <f t="shared" si="28"/>
        <v>0</v>
      </c>
      <c r="K33" s="68">
        <f t="shared" si="28"/>
        <v>0</v>
      </c>
      <c r="L33" s="69">
        <f t="shared" si="28"/>
        <v>0</v>
      </c>
      <c r="M33" s="59">
        <f t="shared" si="28"/>
        <v>0</v>
      </c>
      <c r="N33" s="59">
        <f t="shared" si="29"/>
        <v>0</v>
      </c>
      <c r="O33" s="59">
        <f t="shared" si="29"/>
        <v>0</v>
      </c>
      <c r="P33" s="59">
        <f t="shared" si="29"/>
        <v>0</v>
      </c>
      <c r="Q33" s="26" t="s">
        <v>67</v>
      </c>
    </row>
    <row r="34" spans="1:17" s="4" customFormat="1" ht="15" outlineLevel="1">
      <c r="A34" s="12">
        <v>24</v>
      </c>
      <c r="B34" s="1" t="s">
        <v>2</v>
      </c>
      <c r="C34" s="90">
        <f t="shared" si="17"/>
        <v>0</v>
      </c>
      <c r="D34" s="113">
        <f t="shared" si="27"/>
        <v>0</v>
      </c>
      <c r="E34" s="28">
        <f t="shared" si="27"/>
        <v>0</v>
      </c>
      <c r="F34" s="59">
        <f t="shared" si="27"/>
        <v>0</v>
      </c>
      <c r="G34" s="59">
        <f t="shared" si="27"/>
        <v>0</v>
      </c>
      <c r="H34" s="69">
        <f>H40</f>
        <v>0</v>
      </c>
      <c r="I34" s="69">
        <f t="shared" si="27"/>
        <v>0</v>
      </c>
      <c r="J34" s="68">
        <f t="shared" si="28"/>
        <v>0</v>
      </c>
      <c r="K34" s="68">
        <f t="shared" si="28"/>
        <v>0</v>
      </c>
      <c r="L34" s="69">
        <f t="shared" si="28"/>
        <v>0</v>
      </c>
      <c r="M34" s="59">
        <f t="shared" si="28"/>
        <v>0</v>
      </c>
      <c r="N34" s="59">
        <f t="shared" si="29"/>
        <v>0</v>
      </c>
      <c r="O34" s="59">
        <f t="shared" si="29"/>
        <v>0</v>
      </c>
      <c r="P34" s="59">
        <f t="shared" si="29"/>
        <v>0</v>
      </c>
      <c r="Q34" s="26" t="s">
        <v>67</v>
      </c>
    </row>
    <row r="35" spans="1:17" s="4" customFormat="1" ht="15" outlineLevel="1">
      <c r="A35" s="12">
        <v>25</v>
      </c>
      <c r="B35" s="29" t="s">
        <v>4</v>
      </c>
      <c r="C35" s="90">
        <f t="shared" si="17"/>
        <v>341490.55</v>
      </c>
      <c r="D35" s="113">
        <f t="shared" si="27"/>
        <v>0</v>
      </c>
      <c r="E35" s="28">
        <f t="shared" si="27"/>
        <v>0</v>
      </c>
      <c r="F35" s="59">
        <f t="shared" si="27"/>
        <v>0</v>
      </c>
      <c r="G35" s="59">
        <f t="shared" si="27"/>
        <v>0</v>
      </c>
      <c r="H35" s="69">
        <f>H41</f>
        <v>0</v>
      </c>
      <c r="I35" s="69">
        <f>I41</f>
        <v>0</v>
      </c>
      <c r="J35" s="68">
        <f t="shared" si="28"/>
        <v>0</v>
      </c>
      <c r="K35" s="68">
        <f t="shared" si="28"/>
        <v>105073.23</v>
      </c>
      <c r="L35" s="69">
        <f t="shared" si="28"/>
        <v>157611.55</v>
      </c>
      <c r="M35" s="69">
        <f t="shared" si="28"/>
        <v>78805.77</v>
      </c>
      <c r="N35" s="69">
        <f t="shared" si="29"/>
        <v>0</v>
      </c>
      <c r="O35" s="69">
        <f t="shared" si="29"/>
        <v>0</v>
      </c>
      <c r="P35" s="69">
        <f t="shared" si="29"/>
        <v>0</v>
      </c>
      <c r="Q35" s="30" t="s">
        <v>67</v>
      </c>
    </row>
    <row r="36" spans="1:17" s="4" customFormat="1" ht="15" outlineLevel="1">
      <c r="A36" s="12">
        <v>26</v>
      </c>
      <c r="B36" s="257" t="s">
        <v>68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</row>
    <row r="37" spans="1:17" s="4" customFormat="1" ht="30.75" outlineLevel="1">
      <c r="A37" s="12">
        <v>27</v>
      </c>
      <c r="B37" s="1" t="s">
        <v>69</v>
      </c>
      <c r="C37" s="90">
        <f t="shared" si="17"/>
        <v>344975.55</v>
      </c>
      <c r="D37" s="66">
        <f aca="true" t="shared" si="30" ref="D37:I37">SUM(D38:D41)</f>
        <v>3435</v>
      </c>
      <c r="E37" s="27">
        <f t="shared" si="30"/>
        <v>0</v>
      </c>
      <c r="F37" s="130">
        <f t="shared" si="30"/>
        <v>0</v>
      </c>
      <c r="G37" s="130">
        <f t="shared" si="30"/>
        <v>0</v>
      </c>
      <c r="H37" s="67">
        <f>SUM(H38:H41)</f>
        <v>25</v>
      </c>
      <c r="I37" s="67">
        <f t="shared" si="30"/>
        <v>25</v>
      </c>
      <c r="J37" s="66">
        <f aca="true" t="shared" si="31" ref="J37:P37">SUM(J38:J41)</f>
        <v>0</v>
      </c>
      <c r="K37" s="66">
        <f t="shared" si="31"/>
        <v>105073.23</v>
      </c>
      <c r="L37" s="66">
        <f t="shared" si="31"/>
        <v>157611.55</v>
      </c>
      <c r="M37" s="66">
        <f t="shared" si="31"/>
        <v>78805.77</v>
      </c>
      <c r="N37" s="66">
        <f t="shared" si="31"/>
        <v>0</v>
      </c>
      <c r="O37" s="66">
        <f t="shared" si="31"/>
        <v>0</v>
      </c>
      <c r="P37" s="66">
        <f t="shared" si="31"/>
        <v>0</v>
      </c>
      <c r="Q37" s="26" t="s">
        <v>67</v>
      </c>
    </row>
    <row r="38" spans="1:17" s="4" customFormat="1" ht="15" outlineLevel="1">
      <c r="A38" s="12">
        <v>28</v>
      </c>
      <c r="B38" s="1" t="s">
        <v>3</v>
      </c>
      <c r="C38" s="90">
        <f t="shared" si="17"/>
        <v>3485</v>
      </c>
      <c r="D38" s="113">
        <f aca="true" t="shared" si="32" ref="D38:I41">SUM(D43,D48)</f>
        <v>3435</v>
      </c>
      <c r="E38" s="28">
        <f t="shared" si="32"/>
        <v>0</v>
      </c>
      <c r="F38" s="59">
        <f t="shared" si="32"/>
        <v>0</v>
      </c>
      <c r="G38" s="59">
        <f t="shared" si="32"/>
        <v>0</v>
      </c>
      <c r="H38" s="69">
        <f>SUM(H43,H48)</f>
        <v>25</v>
      </c>
      <c r="I38" s="69">
        <f t="shared" si="32"/>
        <v>25</v>
      </c>
      <c r="J38" s="68">
        <f aca="true" t="shared" si="33" ref="J38:M41">SUM(J43,J48)</f>
        <v>0</v>
      </c>
      <c r="K38" s="68">
        <f t="shared" si="33"/>
        <v>0</v>
      </c>
      <c r="L38" s="69">
        <f t="shared" si="33"/>
        <v>0</v>
      </c>
      <c r="M38" s="59">
        <f t="shared" si="33"/>
        <v>0</v>
      </c>
      <c r="N38" s="59">
        <f aca="true" t="shared" si="34" ref="N38:P41">SUM(N43,N48)</f>
        <v>0</v>
      </c>
      <c r="O38" s="59">
        <f t="shared" si="34"/>
        <v>0</v>
      </c>
      <c r="P38" s="59">
        <f t="shared" si="34"/>
        <v>0</v>
      </c>
      <c r="Q38" s="26" t="s">
        <v>67</v>
      </c>
    </row>
    <row r="39" spans="1:17" s="4" customFormat="1" ht="15" outlineLevel="1">
      <c r="A39" s="12">
        <v>29</v>
      </c>
      <c r="B39" s="1" t="s">
        <v>1</v>
      </c>
      <c r="C39" s="90">
        <f t="shared" si="17"/>
        <v>0</v>
      </c>
      <c r="D39" s="113">
        <f t="shared" si="32"/>
        <v>0</v>
      </c>
      <c r="E39" s="28">
        <f t="shared" si="32"/>
        <v>0</v>
      </c>
      <c r="F39" s="59">
        <f t="shared" si="32"/>
        <v>0</v>
      </c>
      <c r="G39" s="59">
        <f t="shared" si="32"/>
        <v>0</v>
      </c>
      <c r="H39" s="69">
        <f>SUM(H44,H49)</f>
        <v>0</v>
      </c>
      <c r="I39" s="69">
        <f t="shared" si="32"/>
        <v>0</v>
      </c>
      <c r="J39" s="68">
        <f t="shared" si="33"/>
        <v>0</v>
      </c>
      <c r="K39" s="68">
        <f t="shared" si="33"/>
        <v>0</v>
      </c>
      <c r="L39" s="69">
        <f t="shared" si="33"/>
        <v>0</v>
      </c>
      <c r="M39" s="59">
        <f t="shared" si="33"/>
        <v>0</v>
      </c>
      <c r="N39" s="59">
        <f t="shared" si="34"/>
        <v>0</v>
      </c>
      <c r="O39" s="59">
        <f t="shared" si="34"/>
        <v>0</v>
      </c>
      <c r="P39" s="59">
        <f t="shared" si="34"/>
        <v>0</v>
      </c>
      <c r="Q39" s="26" t="s">
        <v>67</v>
      </c>
    </row>
    <row r="40" spans="1:17" s="4" customFormat="1" ht="15" outlineLevel="1">
      <c r="A40" s="12">
        <v>30</v>
      </c>
      <c r="B40" s="1" t="s">
        <v>2</v>
      </c>
      <c r="C40" s="90">
        <f t="shared" si="17"/>
        <v>0</v>
      </c>
      <c r="D40" s="113">
        <f t="shared" si="32"/>
        <v>0</v>
      </c>
      <c r="E40" s="28">
        <f t="shared" si="32"/>
        <v>0</v>
      </c>
      <c r="F40" s="59">
        <f t="shared" si="32"/>
        <v>0</v>
      </c>
      <c r="G40" s="59">
        <f t="shared" si="32"/>
        <v>0</v>
      </c>
      <c r="H40" s="69">
        <f>SUM(H45,H50)</f>
        <v>0</v>
      </c>
      <c r="I40" s="69">
        <f t="shared" si="32"/>
        <v>0</v>
      </c>
      <c r="J40" s="68">
        <f t="shared" si="33"/>
        <v>0</v>
      </c>
      <c r="K40" s="68">
        <f t="shared" si="33"/>
        <v>0</v>
      </c>
      <c r="L40" s="69">
        <f t="shared" si="33"/>
        <v>0</v>
      </c>
      <c r="M40" s="59">
        <f t="shared" si="33"/>
        <v>0</v>
      </c>
      <c r="N40" s="59">
        <f t="shared" si="34"/>
        <v>0</v>
      </c>
      <c r="O40" s="59">
        <f t="shared" si="34"/>
        <v>0</v>
      </c>
      <c r="P40" s="59">
        <f t="shared" si="34"/>
        <v>0</v>
      </c>
      <c r="Q40" s="26" t="s">
        <v>67</v>
      </c>
    </row>
    <row r="41" spans="1:17" s="4" customFormat="1" ht="15" outlineLevel="1">
      <c r="A41" s="12">
        <v>31</v>
      </c>
      <c r="B41" s="1" t="s">
        <v>4</v>
      </c>
      <c r="C41" s="90">
        <f t="shared" si="17"/>
        <v>341490.55</v>
      </c>
      <c r="D41" s="113">
        <f t="shared" si="32"/>
        <v>0</v>
      </c>
      <c r="E41" s="28">
        <f t="shared" si="32"/>
        <v>0</v>
      </c>
      <c r="F41" s="59">
        <f t="shared" si="32"/>
        <v>0</v>
      </c>
      <c r="G41" s="59">
        <f t="shared" si="32"/>
        <v>0</v>
      </c>
      <c r="H41" s="69">
        <f>SUM(H46,H51)</f>
        <v>0</v>
      </c>
      <c r="I41" s="69">
        <f t="shared" si="32"/>
        <v>0</v>
      </c>
      <c r="J41" s="68">
        <f t="shared" si="33"/>
        <v>0</v>
      </c>
      <c r="K41" s="68">
        <f t="shared" si="33"/>
        <v>105073.23</v>
      </c>
      <c r="L41" s="69">
        <f t="shared" si="33"/>
        <v>157611.55</v>
      </c>
      <c r="M41" s="69">
        <f t="shared" si="33"/>
        <v>78805.77</v>
      </c>
      <c r="N41" s="69">
        <f t="shared" si="34"/>
        <v>0</v>
      </c>
      <c r="O41" s="69">
        <f t="shared" si="34"/>
        <v>0</v>
      </c>
      <c r="P41" s="69">
        <f t="shared" si="34"/>
        <v>0</v>
      </c>
      <c r="Q41" s="26" t="s">
        <v>67</v>
      </c>
    </row>
    <row r="42" spans="1:17" s="4" customFormat="1" ht="78" outlineLevel="1">
      <c r="A42" s="12">
        <v>32</v>
      </c>
      <c r="B42" s="1" t="s">
        <v>73</v>
      </c>
      <c r="C42" s="90">
        <f t="shared" si="17"/>
        <v>3485</v>
      </c>
      <c r="D42" s="66">
        <f aca="true" t="shared" si="35" ref="D42:J42">SUM(D43:D46)</f>
        <v>3435</v>
      </c>
      <c r="E42" s="27">
        <f t="shared" si="35"/>
        <v>0</v>
      </c>
      <c r="F42" s="130">
        <f t="shared" si="35"/>
        <v>0</v>
      </c>
      <c r="G42" s="130">
        <f t="shared" si="35"/>
        <v>0</v>
      </c>
      <c r="H42" s="130">
        <f t="shared" si="35"/>
        <v>25</v>
      </c>
      <c r="I42" s="130">
        <f t="shared" si="35"/>
        <v>25</v>
      </c>
      <c r="J42" s="154">
        <f t="shared" si="35"/>
        <v>0</v>
      </c>
      <c r="K42" s="154">
        <f>SUM(K43:K46)</f>
        <v>0</v>
      </c>
      <c r="L42" s="154"/>
      <c r="M42" s="154"/>
      <c r="N42" s="154"/>
      <c r="O42" s="154"/>
      <c r="P42" s="154"/>
      <c r="Q42" s="26">
        <v>4</v>
      </c>
    </row>
    <row r="43" spans="1:17" s="4" customFormat="1" ht="15" outlineLevel="1">
      <c r="A43" s="12">
        <v>33</v>
      </c>
      <c r="B43" s="1" t="s">
        <v>3</v>
      </c>
      <c r="C43" s="90">
        <f t="shared" si="17"/>
        <v>3485</v>
      </c>
      <c r="D43" s="114">
        <v>3435</v>
      </c>
      <c r="E43" s="28"/>
      <c r="F43" s="59"/>
      <c r="G43" s="59"/>
      <c r="H43" s="59">
        <v>25</v>
      </c>
      <c r="I43" s="59">
        <v>25</v>
      </c>
      <c r="J43" s="33"/>
      <c r="K43" s="33"/>
      <c r="L43" s="33"/>
      <c r="M43" s="33"/>
      <c r="N43" s="33"/>
      <c r="O43" s="33"/>
      <c r="P43" s="33"/>
      <c r="Q43" s="26" t="s">
        <v>67</v>
      </c>
    </row>
    <row r="44" spans="1:17" s="4" customFormat="1" ht="15" outlineLevel="1">
      <c r="A44" s="12">
        <v>34</v>
      </c>
      <c r="B44" s="1" t="s">
        <v>1</v>
      </c>
      <c r="C44" s="90">
        <f t="shared" si="17"/>
        <v>0</v>
      </c>
      <c r="D44" s="183"/>
      <c r="E44" s="28"/>
      <c r="F44" s="59"/>
      <c r="G44" s="59"/>
      <c r="H44" s="59"/>
      <c r="I44" s="59"/>
      <c r="J44" s="33"/>
      <c r="K44" s="33"/>
      <c r="L44" s="33"/>
      <c r="M44" s="33"/>
      <c r="N44" s="33"/>
      <c r="O44" s="33"/>
      <c r="P44" s="33"/>
      <c r="Q44" s="26" t="s">
        <v>67</v>
      </c>
    </row>
    <row r="45" spans="1:17" s="4" customFormat="1" ht="15" outlineLevel="1">
      <c r="A45" s="12">
        <v>35</v>
      </c>
      <c r="B45" s="1" t="s">
        <v>2</v>
      </c>
      <c r="C45" s="90">
        <f t="shared" si="17"/>
        <v>0</v>
      </c>
      <c r="D45" s="183"/>
      <c r="E45" s="28"/>
      <c r="F45" s="59"/>
      <c r="G45" s="59"/>
      <c r="H45" s="59"/>
      <c r="I45" s="59"/>
      <c r="J45" s="33"/>
      <c r="K45" s="33"/>
      <c r="L45" s="33"/>
      <c r="M45" s="33"/>
      <c r="N45" s="33"/>
      <c r="O45" s="33"/>
      <c r="P45" s="33"/>
      <c r="Q45" s="26" t="s">
        <v>67</v>
      </c>
    </row>
    <row r="46" spans="1:17" s="4" customFormat="1" ht="15" outlineLevel="1">
      <c r="A46" s="12">
        <v>36</v>
      </c>
      <c r="B46" s="1" t="s">
        <v>4</v>
      </c>
      <c r="C46" s="90">
        <f t="shared" si="17"/>
        <v>0</v>
      </c>
      <c r="D46" s="184"/>
      <c r="E46" s="32"/>
      <c r="F46" s="60"/>
      <c r="G46" s="60"/>
      <c r="H46" s="60"/>
      <c r="I46" s="60"/>
      <c r="J46" s="34"/>
      <c r="K46" s="34"/>
      <c r="L46" s="34"/>
      <c r="M46" s="34"/>
      <c r="N46" s="34"/>
      <c r="O46" s="34"/>
      <c r="P46" s="34"/>
      <c r="Q46" s="26" t="s">
        <v>67</v>
      </c>
    </row>
    <row r="47" spans="1:17" s="4" customFormat="1" ht="46.5" outlineLevel="1">
      <c r="A47" s="12">
        <v>37</v>
      </c>
      <c r="B47" s="16" t="s">
        <v>267</v>
      </c>
      <c r="C47" s="90">
        <f t="shared" si="17"/>
        <v>341490.55</v>
      </c>
      <c r="D47" s="27">
        <f aca="true" t="shared" si="36" ref="D47:K47">SUM(D48:D51)</f>
        <v>0</v>
      </c>
      <c r="E47" s="27">
        <f t="shared" si="36"/>
        <v>0</v>
      </c>
      <c r="F47" s="130">
        <f t="shared" si="36"/>
        <v>0</v>
      </c>
      <c r="G47" s="130">
        <f t="shared" si="36"/>
        <v>0</v>
      </c>
      <c r="H47" s="130">
        <f t="shared" si="36"/>
        <v>0</v>
      </c>
      <c r="I47" s="130">
        <f t="shared" si="36"/>
        <v>0</v>
      </c>
      <c r="J47" s="67">
        <f t="shared" si="36"/>
        <v>0</v>
      </c>
      <c r="K47" s="67">
        <f t="shared" si="36"/>
        <v>105073.23</v>
      </c>
      <c r="L47" s="67">
        <f>SUM(L48:L51)</f>
        <v>157611.55</v>
      </c>
      <c r="M47" s="67">
        <f>SUM(M48:M51)</f>
        <v>78805.77</v>
      </c>
      <c r="N47" s="67">
        <f>SUM(N48:N51)</f>
        <v>0</v>
      </c>
      <c r="O47" s="67">
        <f>SUM(O48:O51)</f>
        <v>0</v>
      </c>
      <c r="P47" s="67">
        <f>SUM(P48:P51)</f>
        <v>0</v>
      </c>
      <c r="Q47" s="26">
        <v>6</v>
      </c>
    </row>
    <row r="48" spans="1:17" s="4" customFormat="1" ht="15" outlineLevel="1">
      <c r="A48" s="12">
        <v>38</v>
      </c>
      <c r="B48" s="1" t="s">
        <v>3</v>
      </c>
      <c r="C48" s="90">
        <f t="shared" si="17"/>
        <v>0</v>
      </c>
      <c r="D48" s="28"/>
      <c r="E48" s="33"/>
      <c r="F48" s="59"/>
      <c r="G48" s="59"/>
      <c r="H48" s="59"/>
      <c r="I48" s="69"/>
      <c r="J48" s="68"/>
      <c r="K48" s="68"/>
      <c r="L48" s="68"/>
      <c r="M48" s="68"/>
      <c r="N48" s="68"/>
      <c r="O48" s="68"/>
      <c r="P48" s="68"/>
      <c r="Q48" s="26" t="s">
        <v>67</v>
      </c>
    </row>
    <row r="49" spans="1:17" s="4" customFormat="1" ht="15" outlineLevel="1">
      <c r="A49" s="12">
        <v>39</v>
      </c>
      <c r="B49" s="1" t="s">
        <v>1</v>
      </c>
      <c r="C49" s="90">
        <f t="shared" si="17"/>
        <v>0</v>
      </c>
      <c r="D49" s="28"/>
      <c r="E49" s="33"/>
      <c r="F49" s="59"/>
      <c r="G49" s="59"/>
      <c r="H49" s="59"/>
      <c r="I49" s="69"/>
      <c r="J49" s="68"/>
      <c r="K49" s="68"/>
      <c r="L49" s="68"/>
      <c r="M49" s="68"/>
      <c r="N49" s="68"/>
      <c r="O49" s="68"/>
      <c r="P49" s="68"/>
      <c r="Q49" s="26" t="s">
        <v>67</v>
      </c>
    </row>
    <row r="50" spans="1:17" s="4" customFormat="1" ht="15" outlineLevel="1">
      <c r="A50" s="12">
        <v>40</v>
      </c>
      <c r="B50" s="1" t="s">
        <v>2</v>
      </c>
      <c r="C50" s="90">
        <f t="shared" si="17"/>
        <v>0</v>
      </c>
      <c r="D50" s="28"/>
      <c r="E50" s="33"/>
      <c r="F50" s="59"/>
      <c r="G50" s="59"/>
      <c r="H50" s="59"/>
      <c r="I50" s="69"/>
      <c r="J50" s="68"/>
      <c r="K50" s="68"/>
      <c r="L50" s="68"/>
      <c r="M50" s="68"/>
      <c r="N50" s="68"/>
      <c r="O50" s="68"/>
      <c r="P50" s="68"/>
      <c r="Q50" s="26" t="s">
        <v>67</v>
      </c>
    </row>
    <row r="51" spans="1:17" s="4" customFormat="1" ht="15" outlineLevel="1">
      <c r="A51" s="12">
        <v>41</v>
      </c>
      <c r="B51" s="29" t="s">
        <v>4</v>
      </c>
      <c r="C51" s="90">
        <f t="shared" si="17"/>
        <v>341490.55</v>
      </c>
      <c r="D51" s="32"/>
      <c r="E51" s="34"/>
      <c r="F51" s="60"/>
      <c r="G51" s="60"/>
      <c r="H51" s="60"/>
      <c r="I51" s="225"/>
      <c r="J51" s="181"/>
      <c r="K51" s="181">
        <v>105073.23</v>
      </c>
      <c r="L51" s="181">
        <v>157611.55</v>
      </c>
      <c r="M51" s="181">
        <v>78805.77</v>
      </c>
      <c r="N51" s="181"/>
      <c r="O51" s="181"/>
      <c r="P51" s="181"/>
      <c r="Q51" s="30" t="s">
        <v>67</v>
      </c>
    </row>
    <row r="52" spans="1:17" s="4" customFormat="1" ht="15" outlineLevel="1">
      <c r="A52" s="12">
        <v>42</v>
      </c>
      <c r="B52" s="292" t="s">
        <v>287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</row>
    <row r="53" spans="1:17" s="4" customFormat="1" ht="15" outlineLevel="1">
      <c r="A53" s="12">
        <v>43</v>
      </c>
      <c r="B53" s="5" t="s">
        <v>74</v>
      </c>
      <c r="C53" s="90">
        <f t="shared" si="17"/>
        <v>8342.97855</v>
      </c>
      <c r="D53" s="115">
        <f>SUM(D54:D57)</f>
        <v>881</v>
      </c>
      <c r="E53" s="115">
        <f aca="true" t="shared" si="37" ref="E53:K53">SUM(E54:E57)</f>
        <v>0</v>
      </c>
      <c r="F53" s="115">
        <f t="shared" si="37"/>
        <v>0</v>
      </c>
      <c r="G53" s="115">
        <f t="shared" si="37"/>
        <v>0</v>
      </c>
      <c r="H53" s="72">
        <f t="shared" si="37"/>
        <v>6262.29</v>
      </c>
      <c r="I53" s="72">
        <f t="shared" si="37"/>
        <v>1199.68855</v>
      </c>
      <c r="J53" s="115">
        <f t="shared" si="37"/>
        <v>0</v>
      </c>
      <c r="K53" s="115">
        <f t="shared" si="37"/>
        <v>0</v>
      </c>
      <c r="L53" s="115">
        <f>SUM(L54:L57)</f>
        <v>0</v>
      </c>
      <c r="M53" s="115">
        <f>SUM(M54:M57)</f>
        <v>0</v>
      </c>
      <c r="N53" s="115">
        <f>SUM(N54:N57)</f>
        <v>0</v>
      </c>
      <c r="O53" s="115">
        <f>SUM(O54:O57)</f>
        <v>0</v>
      </c>
      <c r="P53" s="115">
        <f>SUM(P54:P57)</f>
        <v>0</v>
      </c>
      <c r="Q53" s="36" t="s">
        <v>67</v>
      </c>
    </row>
    <row r="54" spans="1:17" s="4" customFormat="1" ht="15" outlineLevel="1">
      <c r="A54" s="12">
        <v>44</v>
      </c>
      <c r="B54" s="5" t="s">
        <v>3</v>
      </c>
      <c r="C54" s="90">
        <f t="shared" si="17"/>
        <v>2080.68855</v>
      </c>
      <c r="D54" s="114">
        <f aca="true" t="shared" si="38" ref="D54:K57">SUM(D60,D71)</f>
        <v>881</v>
      </c>
      <c r="E54" s="114">
        <f t="shared" si="38"/>
        <v>0</v>
      </c>
      <c r="F54" s="114">
        <f t="shared" si="38"/>
        <v>0</v>
      </c>
      <c r="G54" s="114">
        <f t="shared" si="38"/>
        <v>0</v>
      </c>
      <c r="H54" s="65">
        <f t="shared" si="38"/>
        <v>0</v>
      </c>
      <c r="I54" s="65">
        <f t="shared" si="38"/>
        <v>1199.68855</v>
      </c>
      <c r="J54" s="114">
        <f t="shared" si="38"/>
        <v>0</v>
      </c>
      <c r="K54" s="114">
        <f t="shared" si="38"/>
        <v>0</v>
      </c>
      <c r="L54" s="114">
        <f aca="true" t="shared" si="39" ref="L54:M57">SUM(L60,L71)</f>
        <v>0</v>
      </c>
      <c r="M54" s="114">
        <f t="shared" si="39"/>
        <v>0</v>
      </c>
      <c r="N54" s="114">
        <f aca="true" t="shared" si="40" ref="N54:P57">SUM(N60,N71)</f>
        <v>0</v>
      </c>
      <c r="O54" s="114">
        <f t="shared" si="40"/>
        <v>0</v>
      </c>
      <c r="P54" s="114">
        <f t="shared" si="40"/>
        <v>0</v>
      </c>
      <c r="Q54" s="36" t="s">
        <v>67</v>
      </c>
    </row>
    <row r="55" spans="1:17" s="4" customFormat="1" ht="15" outlineLevel="1">
      <c r="A55" s="12">
        <v>45</v>
      </c>
      <c r="B55" s="5" t="s">
        <v>1</v>
      </c>
      <c r="C55" s="90">
        <f t="shared" si="17"/>
        <v>0</v>
      </c>
      <c r="D55" s="114">
        <f t="shared" si="38"/>
        <v>0</v>
      </c>
      <c r="E55" s="114">
        <f t="shared" si="38"/>
        <v>0</v>
      </c>
      <c r="F55" s="114">
        <f t="shared" si="38"/>
        <v>0</v>
      </c>
      <c r="G55" s="114">
        <f t="shared" si="38"/>
        <v>0</v>
      </c>
      <c r="H55" s="65">
        <f t="shared" si="38"/>
        <v>0</v>
      </c>
      <c r="I55" s="65">
        <f t="shared" si="38"/>
        <v>0</v>
      </c>
      <c r="J55" s="114">
        <f t="shared" si="38"/>
        <v>0</v>
      </c>
      <c r="K55" s="114">
        <f t="shared" si="38"/>
        <v>0</v>
      </c>
      <c r="L55" s="114">
        <f t="shared" si="39"/>
        <v>0</v>
      </c>
      <c r="M55" s="114">
        <f t="shared" si="39"/>
        <v>0</v>
      </c>
      <c r="N55" s="114">
        <f t="shared" si="40"/>
        <v>0</v>
      </c>
      <c r="O55" s="114">
        <f t="shared" si="40"/>
        <v>0</v>
      </c>
      <c r="P55" s="114">
        <f t="shared" si="40"/>
        <v>0</v>
      </c>
      <c r="Q55" s="36" t="s">
        <v>67</v>
      </c>
    </row>
    <row r="56" spans="1:17" s="4" customFormat="1" ht="15" outlineLevel="1">
      <c r="A56" s="12">
        <v>46</v>
      </c>
      <c r="B56" s="5" t="s">
        <v>2</v>
      </c>
      <c r="C56" s="90">
        <f t="shared" si="17"/>
        <v>6262.29</v>
      </c>
      <c r="D56" s="114">
        <f t="shared" si="38"/>
        <v>0</v>
      </c>
      <c r="E56" s="114">
        <f t="shared" si="38"/>
        <v>0</v>
      </c>
      <c r="F56" s="114">
        <f t="shared" si="38"/>
        <v>0</v>
      </c>
      <c r="G56" s="114">
        <f t="shared" si="38"/>
        <v>0</v>
      </c>
      <c r="H56" s="65">
        <f t="shared" si="38"/>
        <v>6262.29</v>
      </c>
      <c r="I56" s="65">
        <f t="shared" si="38"/>
        <v>0</v>
      </c>
      <c r="J56" s="114">
        <f t="shared" si="38"/>
        <v>0</v>
      </c>
      <c r="K56" s="114">
        <f t="shared" si="38"/>
        <v>0</v>
      </c>
      <c r="L56" s="114">
        <f t="shared" si="39"/>
        <v>0</v>
      </c>
      <c r="M56" s="114">
        <f t="shared" si="39"/>
        <v>0</v>
      </c>
      <c r="N56" s="114">
        <f t="shared" si="40"/>
        <v>0</v>
      </c>
      <c r="O56" s="114">
        <f t="shared" si="40"/>
        <v>0</v>
      </c>
      <c r="P56" s="114">
        <f t="shared" si="40"/>
        <v>0</v>
      </c>
      <c r="Q56" s="36" t="s">
        <v>67</v>
      </c>
    </row>
    <row r="57" spans="1:17" s="4" customFormat="1" ht="15" outlineLevel="1">
      <c r="A57" s="12">
        <v>47</v>
      </c>
      <c r="B57" s="37" t="s">
        <v>4</v>
      </c>
      <c r="C57" s="90">
        <f t="shared" si="17"/>
        <v>0</v>
      </c>
      <c r="D57" s="114">
        <f t="shared" si="38"/>
        <v>0</v>
      </c>
      <c r="E57" s="114">
        <f t="shared" si="38"/>
        <v>0</v>
      </c>
      <c r="F57" s="114">
        <f t="shared" si="38"/>
        <v>0</v>
      </c>
      <c r="G57" s="114">
        <f t="shared" si="38"/>
        <v>0</v>
      </c>
      <c r="H57" s="65">
        <f t="shared" si="38"/>
        <v>0</v>
      </c>
      <c r="I57" s="65">
        <f t="shared" si="38"/>
        <v>0</v>
      </c>
      <c r="J57" s="114">
        <f t="shared" si="38"/>
        <v>0</v>
      </c>
      <c r="K57" s="114">
        <f t="shared" si="38"/>
        <v>0</v>
      </c>
      <c r="L57" s="114">
        <f t="shared" si="39"/>
        <v>0</v>
      </c>
      <c r="M57" s="114">
        <f t="shared" si="39"/>
        <v>0</v>
      </c>
      <c r="N57" s="114">
        <f t="shared" si="40"/>
        <v>0</v>
      </c>
      <c r="O57" s="114">
        <f t="shared" si="40"/>
        <v>0</v>
      </c>
      <c r="P57" s="114">
        <f t="shared" si="40"/>
        <v>0</v>
      </c>
      <c r="Q57" s="38" t="s">
        <v>67</v>
      </c>
    </row>
    <row r="58" spans="1:17" s="4" customFormat="1" ht="15" outlineLevel="1">
      <c r="A58" s="12">
        <v>48</v>
      </c>
      <c r="B58" s="300" t="s">
        <v>68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2"/>
    </row>
    <row r="59" spans="1:17" s="4" customFormat="1" ht="30.75" outlineLevel="1">
      <c r="A59" s="12">
        <v>49</v>
      </c>
      <c r="B59" s="5" t="s">
        <v>69</v>
      </c>
      <c r="C59" s="90">
        <f t="shared" si="17"/>
        <v>881</v>
      </c>
      <c r="D59" s="195">
        <f>SUM(D60:D63)</f>
        <v>881</v>
      </c>
      <c r="E59" s="195">
        <f aca="true" t="shared" si="41" ref="E59:K59">SUM(E60:E63)</f>
        <v>0</v>
      </c>
      <c r="F59" s="195">
        <f t="shared" si="41"/>
        <v>0</v>
      </c>
      <c r="G59" s="195">
        <f t="shared" si="41"/>
        <v>0</v>
      </c>
      <c r="H59" s="76">
        <f t="shared" si="41"/>
        <v>0</v>
      </c>
      <c r="I59" s="76">
        <f t="shared" si="41"/>
        <v>0</v>
      </c>
      <c r="J59" s="195">
        <f t="shared" si="41"/>
        <v>0</v>
      </c>
      <c r="K59" s="195">
        <f t="shared" si="41"/>
        <v>0</v>
      </c>
      <c r="L59" s="195">
        <f>SUM(L60:L63)</f>
        <v>0</v>
      </c>
      <c r="M59" s="195">
        <f>SUM(M60:M63)</f>
        <v>0</v>
      </c>
      <c r="N59" s="195">
        <f>SUM(N60:N63)</f>
        <v>0</v>
      </c>
      <c r="O59" s="195">
        <f>SUM(O60:O63)</f>
        <v>0</v>
      </c>
      <c r="P59" s="195">
        <f>SUM(P60:P63)</f>
        <v>0</v>
      </c>
      <c r="Q59" s="36" t="s">
        <v>67</v>
      </c>
    </row>
    <row r="60" spans="1:17" s="4" customFormat="1" ht="15" outlineLevel="1">
      <c r="A60" s="12">
        <v>50</v>
      </c>
      <c r="B60" s="5" t="s">
        <v>3</v>
      </c>
      <c r="C60" s="90">
        <f t="shared" si="17"/>
        <v>881</v>
      </c>
      <c r="D60" s="114">
        <f aca="true" t="shared" si="42" ref="D60:K63">SUM(D65)</f>
        <v>881</v>
      </c>
      <c r="E60" s="114">
        <f t="shared" si="42"/>
        <v>0</v>
      </c>
      <c r="F60" s="114">
        <f t="shared" si="42"/>
        <v>0</v>
      </c>
      <c r="G60" s="114">
        <f t="shared" si="42"/>
        <v>0</v>
      </c>
      <c r="H60" s="65">
        <f t="shared" si="42"/>
        <v>0</v>
      </c>
      <c r="I60" s="65">
        <f t="shared" si="42"/>
        <v>0</v>
      </c>
      <c r="J60" s="114">
        <f t="shared" si="42"/>
        <v>0</v>
      </c>
      <c r="K60" s="114">
        <f t="shared" si="42"/>
        <v>0</v>
      </c>
      <c r="L60" s="114">
        <f aca="true" t="shared" si="43" ref="L60:M63">SUM(L65)</f>
        <v>0</v>
      </c>
      <c r="M60" s="114">
        <f t="shared" si="43"/>
        <v>0</v>
      </c>
      <c r="N60" s="114">
        <f aca="true" t="shared" si="44" ref="N60:P63">SUM(N65)</f>
        <v>0</v>
      </c>
      <c r="O60" s="114">
        <f t="shared" si="44"/>
        <v>0</v>
      </c>
      <c r="P60" s="114">
        <f t="shared" si="44"/>
        <v>0</v>
      </c>
      <c r="Q60" s="36" t="s">
        <v>67</v>
      </c>
    </row>
    <row r="61" spans="1:17" s="4" customFormat="1" ht="15" outlineLevel="1">
      <c r="A61" s="12">
        <v>51</v>
      </c>
      <c r="B61" s="5" t="s">
        <v>1</v>
      </c>
      <c r="C61" s="90">
        <f t="shared" si="17"/>
        <v>0</v>
      </c>
      <c r="D61" s="114">
        <f t="shared" si="42"/>
        <v>0</v>
      </c>
      <c r="E61" s="114">
        <f t="shared" si="42"/>
        <v>0</v>
      </c>
      <c r="F61" s="114">
        <f t="shared" si="42"/>
        <v>0</v>
      </c>
      <c r="G61" s="114">
        <f t="shared" si="42"/>
        <v>0</v>
      </c>
      <c r="H61" s="65">
        <f t="shared" si="42"/>
        <v>0</v>
      </c>
      <c r="I61" s="65">
        <f t="shared" si="42"/>
        <v>0</v>
      </c>
      <c r="J61" s="114">
        <f t="shared" si="42"/>
        <v>0</v>
      </c>
      <c r="K61" s="114">
        <f t="shared" si="42"/>
        <v>0</v>
      </c>
      <c r="L61" s="114">
        <f t="shared" si="43"/>
        <v>0</v>
      </c>
      <c r="M61" s="114">
        <f t="shared" si="43"/>
        <v>0</v>
      </c>
      <c r="N61" s="114">
        <f t="shared" si="44"/>
        <v>0</v>
      </c>
      <c r="O61" s="114">
        <f t="shared" si="44"/>
        <v>0</v>
      </c>
      <c r="P61" s="114">
        <f t="shared" si="44"/>
        <v>0</v>
      </c>
      <c r="Q61" s="36" t="s">
        <v>67</v>
      </c>
    </row>
    <row r="62" spans="1:17" s="4" customFormat="1" ht="15" outlineLevel="1">
      <c r="A62" s="12">
        <v>52</v>
      </c>
      <c r="B62" s="5" t="s">
        <v>2</v>
      </c>
      <c r="C62" s="90">
        <f t="shared" si="17"/>
        <v>0</v>
      </c>
      <c r="D62" s="114">
        <f t="shared" si="42"/>
        <v>0</v>
      </c>
      <c r="E62" s="114">
        <f t="shared" si="42"/>
        <v>0</v>
      </c>
      <c r="F62" s="114">
        <f t="shared" si="42"/>
        <v>0</v>
      </c>
      <c r="G62" s="114">
        <f t="shared" si="42"/>
        <v>0</v>
      </c>
      <c r="H62" s="65">
        <f t="shared" si="42"/>
        <v>0</v>
      </c>
      <c r="I62" s="65">
        <f t="shared" si="42"/>
        <v>0</v>
      </c>
      <c r="J62" s="114">
        <f t="shared" si="42"/>
        <v>0</v>
      </c>
      <c r="K62" s="114">
        <f t="shared" si="42"/>
        <v>0</v>
      </c>
      <c r="L62" s="114">
        <f t="shared" si="43"/>
        <v>0</v>
      </c>
      <c r="M62" s="114">
        <f t="shared" si="43"/>
        <v>0</v>
      </c>
      <c r="N62" s="114">
        <f t="shared" si="44"/>
        <v>0</v>
      </c>
      <c r="O62" s="114">
        <f t="shared" si="44"/>
        <v>0</v>
      </c>
      <c r="P62" s="114">
        <f t="shared" si="44"/>
        <v>0</v>
      </c>
      <c r="Q62" s="36" t="s">
        <v>67</v>
      </c>
    </row>
    <row r="63" spans="1:17" s="4" customFormat="1" ht="15" outlineLevel="1">
      <c r="A63" s="12">
        <v>53</v>
      </c>
      <c r="B63" s="5" t="s">
        <v>4</v>
      </c>
      <c r="C63" s="90">
        <f t="shared" si="17"/>
        <v>0</v>
      </c>
      <c r="D63" s="114">
        <f t="shared" si="42"/>
        <v>0</v>
      </c>
      <c r="E63" s="114">
        <f t="shared" si="42"/>
        <v>0</v>
      </c>
      <c r="F63" s="114">
        <f t="shared" si="42"/>
        <v>0</v>
      </c>
      <c r="G63" s="114">
        <f t="shared" si="42"/>
        <v>0</v>
      </c>
      <c r="H63" s="65">
        <f t="shared" si="42"/>
        <v>0</v>
      </c>
      <c r="I63" s="65">
        <f t="shared" si="42"/>
        <v>0</v>
      </c>
      <c r="J63" s="114">
        <f t="shared" si="42"/>
        <v>0</v>
      </c>
      <c r="K63" s="114">
        <f t="shared" si="42"/>
        <v>0</v>
      </c>
      <c r="L63" s="114">
        <f t="shared" si="43"/>
        <v>0</v>
      </c>
      <c r="M63" s="114">
        <f t="shared" si="43"/>
        <v>0</v>
      </c>
      <c r="N63" s="114">
        <f t="shared" si="44"/>
        <v>0</v>
      </c>
      <c r="O63" s="114">
        <f t="shared" si="44"/>
        <v>0</v>
      </c>
      <c r="P63" s="114">
        <f t="shared" si="44"/>
        <v>0</v>
      </c>
      <c r="Q63" s="36" t="s">
        <v>67</v>
      </c>
    </row>
    <row r="64" spans="1:17" s="4" customFormat="1" ht="93.75" outlineLevel="1">
      <c r="A64" s="12">
        <v>54</v>
      </c>
      <c r="B64" s="208" t="s">
        <v>343</v>
      </c>
      <c r="C64" s="90">
        <f t="shared" si="17"/>
        <v>881</v>
      </c>
      <c r="D64" s="115">
        <f aca="true" t="shared" si="45" ref="D64:K64">SUM(D65:D68)</f>
        <v>881</v>
      </c>
      <c r="E64" s="35">
        <f t="shared" si="45"/>
        <v>0</v>
      </c>
      <c r="F64" s="73">
        <f t="shared" si="45"/>
        <v>0</v>
      </c>
      <c r="G64" s="73">
        <f t="shared" si="45"/>
        <v>0</v>
      </c>
      <c r="H64" s="73">
        <f t="shared" si="45"/>
        <v>0</v>
      </c>
      <c r="I64" s="73">
        <f t="shared" si="45"/>
        <v>0</v>
      </c>
      <c r="J64" s="78">
        <f t="shared" si="45"/>
        <v>0</v>
      </c>
      <c r="K64" s="78">
        <f t="shared" si="45"/>
        <v>0</v>
      </c>
      <c r="L64" s="78"/>
      <c r="M64" s="78"/>
      <c r="N64" s="78"/>
      <c r="O64" s="78"/>
      <c r="P64" s="78"/>
      <c r="Q64" s="206" t="s">
        <v>294</v>
      </c>
    </row>
    <row r="65" spans="1:17" s="4" customFormat="1" ht="15" outlineLevel="1">
      <c r="A65" s="12">
        <v>55</v>
      </c>
      <c r="B65" s="5" t="s">
        <v>3</v>
      </c>
      <c r="C65" s="90">
        <f t="shared" si="17"/>
        <v>881</v>
      </c>
      <c r="D65" s="114">
        <f>881</f>
        <v>881</v>
      </c>
      <c r="E65" s="31"/>
      <c r="F65" s="74"/>
      <c r="G65" s="74"/>
      <c r="H65" s="74"/>
      <c r="I65" s="74"/>
      <c r="J65" s="79"/>
      <c r="K65" s="79"/>
      <c r="L65" s="79"/>
      <c r="M65" s="79"/>
      <c r="N65" s="79"/>
      <c r="O65" s="79"/>
      <c r="P65" s="79"/>
      <c r="Q65" s="36"/>
    </row>
    <row r="66" spans="1:17" s="4" customFormat="1" ht="15" outlineLevel="1">
      <c r="A66" s="12">
        <v>56</v>
      </c>
      <c r="B66" s="5" t="s">
        <v>1</v>
      </c>
      <c r="C66" s="90">
        <f t="shared" si="17"/>
        <v>0</v>
      </c>
      <c r="D66" s="31">
        <v>0</v>
      </c>
      <c r="E66" s="31"/>
      <c r="F66" s="74"/>
      <c r="G66" s="74"/>
      <c r="H66" s="74"/>
      <c r="I66" s="74"/>
      <c r="J66" s="79"/>
      <c r="K66" s="79"/>
      <c r="L66" s="79"/>
      <c r="M66" s="79"/>
      <c r="N66" s="79"/>
      <c r="O66" s="79"/>
      <c r="P66" s="79"/>
      <c r="Q66" s="36"/>
    </row>
    <row r="67" spans="1:17" s="4" customFormat="1" ht="15" outlineLevel="1">
      <c r="A67" s="12">
        <v>57</v>
      </c>
      <c r="B67" s="5" t="s">
        <v>2</v>
      </c>
      <c r="C67" s="90">
        <f t="shared" si="17"/>
        <v>0</v>
      </c>
      <c r="D67" s="31">
        <v>0</v>
      </c>
      <c r="E67" s="31"/>
      <c r="F67" s="74"/>
      <c r="G67" s="74"/>
      <c r="H67" s="74"/>
      <c r="I67" s="74"/>
      <c r="J67" s="79"/>
      <c r="K67" s="79"/>
      <c r="L67" s="79"/>
      <c r="M67" s="79"/>
      <c r="N67" s="79"/>
      <c r="O67" s="79"/>
      <c r="P67" s="79"/>
      <c r="Q67" s="36"/>
    </row>
    <row r="68" spans="1:17" s="4" customFormat="1" ht="15" outlineLevel="1">
      <c r="A68" s="12">
        <v>58</v>
      </c>
      <c r="B68" s="5" t="s">
        <v>4</v>
      </c>
      <c r="C68" s="90">
        <f t="shared" si="17"/>
        <v>0</v>
      </c>
      <c r="D68" s="39">
        <v>0</v>
      </c>
      <c r="E68" s="39"/>
      <c r="F68" s="131"/>
      <c r="G68" s="131"/>
      <c r="H68" s="131"/>
      <c r="I68" s="132"/>
      <c r="J68" s="155"/>
      <c r="K68" s="155"/>
      <c r="L68" s="155"/>
      <c r="M68" s="155"/>
      <c r="N68" s="155"/>
      <c r="O68" s="155"/>
      <c r="P68" s="155"/>
      <c r="Q68" s="36"/>
    </row>
    <row r="69" spans="1:17" s="4" customFormat="1" ht="15" outlineLevel="1">
      <c r="A69" s="12" t="s">
        <v>296</v>
      </c>
      <c r="B69" s="257" t="s">
        <v>70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</row>
    <row r="70" spans="1:17" s="4" customFormat="1" ht="30.75" outlineLevel="1">
      <c r="A70" s="12" t="s">
        <v>297</v>
      </c>
      <c r="B70" s="1" t="s">
        <v>71</v>
      </c>
      <c r="C70" s="90">
        <f t="shared" si="17"/>
        <v>7461.97855</v>
      </c>
      <c r="D70" s="101">
        <f aca="true" t="shared" si="46" ref="D70:I70">SUM(D71:D74)</f>
        <v>0</v>
      </c>
      <c r="E70" s="101">
        <f t="shared" si="46"/>
        <v>0</v>
      </c>
      <c r="F70" s="134">
        <f t="shared" si="46"/>
        <v>0</v>
      </c>
      <c r="G70" s="134">
        <f t="shared" si="46"/>
        <v>0</v>
      </c>
      <c r="H70" s="134">
        <f t="shared" si="46"/>
        <v>6262.29</v>
      </c>
      <c r="I70" s="134">
        <f t="shared" si="46"/>
        <v>1199.68855</v>
      </c>
      <c r="J70" s="107">
        <f aca="true" t="shared" si="47" ref="J70:P70">SUM(J71:J74)</f>
        <v>0</v>
      </c>
      <c r="K70" s="107">
        <f t="shared" si="47"/>
        <v>0</v>
      </c>
      <c r="L70" s="107">
        <f t="shared" si="47"/>
        <v>0</v>
      </c>
      <c r="M70" s="107">
        <f t="shared" si="47"/>
        <v>0</v>
      </c>
      <c r="N70" s="107">
        <f t="shared" si="47"/>
        <v>0</v>
      </c>
      <c r="O70" s="107">
        <f t="shared" si="47"/>
        <v>0</v>
      </c>
      <c r="P70" s="107">
        <f t="shared" si="47"/>
        <v>0</v>
      </c>
      <c r="Q70" s="1"/>
    </row>
    <row r="71" spans="1:17" s="4" customFormat="1" ht="15" outlineLevel="1">
      <c r="A71" s="12" t="s">
        <v>298</v>
      </c>
      <c r="B71" s="1" t="s">
        <v>3</v>
      </c>
      <c r="C71" s="90">
        <f t="shared" si="17"/>
        <v>1199.68855</v>
      </c>
      <c r="D71" s="99">
        <f aca="true" t="shared" si="48" ref="D71:K74">D76</f>
        <v>0</v>
      </c>
      <c r="E71" s="99">
        <f t="shared" si="48"/>
        <v>0</v>
      </c>
      <c r="F71" s="99">
        <f t="shared" si="48"/>
        <v>0</v>
      </c>
      <c r="G71" s="99">
        <f t="shared" si="48"/>
        <v>0</v>
      </c>
      <c r="H71" s="210">
        <f t="shared" si="48"/>
        <v>0</v>
      </c>
      <c r="I71" s="210">
        <f t="shared" si="48"/>
        <v>1199.68855</v>
      </c>
      <c r="J71" s="99">
        <f t="shared" si="48"/>
        <v>0</v>
      </c>
      <c r="K71" s="99">
        <f t="shared" si="48"/>
        <v>0</v>
      </c>
      <c r="L71" s="99">
        <f aca="true" t="shared" si="49" ref="L71:M74">L76</f>
        <v>0</v>
      </c>
      <c r="M71" s="99">
        <f t="shared" si="49"/>
        <v>0</v>
      </c>
      <c r="N71" s="99">
        <f aca="true" t="shared" si="50" ref="N71:P74">N76</f>
        <v>0</v>
      </c>
      <c r="O71" s="99">
        <f t="shared" si="50"/>
        <v>0</v>
      </c>
      <c r="P71" s="99">
        <f t="shared" si="50"/>
        <v>0</v>
      </c>
      <c r="Q71" s="26" t="s">
        <v>67</v>
      </c>
    </row>
    <row r="72" spans="1:17" s="4" customFormat="1" ht="15" outlineLevel="1">
      <c r="A72" s="12" t="s">
        <v>299</v>
      </c>
      <c r="B72" s="1" t="s">
        <v>1</v>
      </c>
      <c r="C72" s="90">
        <f t="shared" si="17"/>
        <v>0</v>
      </c>
      <c r="D72" s="99">
        <f t="shared" si="48"/>
        <v>0</v>
      </c>
      <c r="E72" s="99">
        <f t="shared" si="48"/>
        <v>0</v>
      </c>
      <c r="F72" s="99">
        <f t="shared" si="48"/>
        <v>0</v>
      </c>
      <c r="G72" s="99">
        <f t="shared" si="48"/>
        <v>0</v>
      </c>
      <c r="H72" s="210">
        <f t="shared" si="48"/>
        <v>0</v>
      </c>
      <c r="I72" s="210">
        <f t="shared" si="48"/>
        <v>0</v>
      </c>
      <c r="J72" s="99">
        <f t="shared" si="48"/>
        <v>0</v>
      </c>
      <c r="K72" s="99">
        <f t="shared" si="48"/>
        <v>0</v>
      </c>
      <c r="L72" s="99">
        <f t="shared" si="49"/>
        <v>0</v>
      </c>
      <c r="M72" s="99">
        <f t="shared" si="49"/>
        <v>0</v>
      </c>
      <c r="N72" s="99">
        <f t="shared" si="50"/>
        <v>0</v>
      </c>
      <c r="O72" s="99">
        <f t="shared" si="50"/>
        <v>0</v>
      </c>
      <c r="P72" s="99">
        <f t="shared" si="50"/>
        <v>0</v>
      </c>
      <c r="Q72" s="26" t="s">
        <v>67</v>
      </c>
    </row>
    <row r="73" spans="1:17" s="4" customFormat="1" ht="15" outlineLevel="1">
      <c r="A73" s="12" t="s">
        <v>300</v>
      </c>
      <c r="B73" s="1" t="s">
        <v>2</v>
      </c>
      <c r="C73" s="90">
        <f t="shared" si="17"/>
        <v>6262.29</v>
      </c>
      <c r="D73" s="99">
        <f t="shared" si="48"/>
        <v>0</v>
      </c>
      <c r="E73" s="99">
        <f t="shared" si="48"/>
        <v>0</v>
      </c>
      <c r="F73" s="99">
        <f t="shared" si="48"/>
        <v>0</v>
      </c>
      <c r="G73" s="99">
        <f t="shared" si="48"/>
        <v>0</v>
      </c>
      <c r="H73" s="210">
        <f t="shared" si="48"/>
        <v>6262.29</v>
      </c>
      <c r="I73" s="210">
        <f t="shared" si="48"/>
        <v>0</v>
      </c>
      <c r="J73" s="99">
        <f t="shared" si="48"/>
        <v>0</v>
      </c>
      <c r="K73" s="99">
        <f t="shared" si="48"/>
        <v>0</v>
      </c>
      <c r="L73" s="99">
        <f t="shared" si="49"/>
        <v>0</v>
      </c>
      <c r="M73" s="99">
        <f t="shared" si="49"/>
        <v>0</v>
      </c>
      <c r="N73" s="99">
        <f t="shared" si="50"/>
        <v>0</v>
      </c>
      <c r="O73" s="99">
        <f t="shared" si="50"/>
        <v>0</v>
      </c>
      <c r="P73" s="99">
        <f t="shared" si="50"/>
        <v>0</v>
      </c>
      <c r="Q73" s="26" t="s">
        <v>67</v>
      </c>
    </row>
    <row r="74" spans="1:17" s="4" customFormat="1" ht="15" outlineLevel="1">
      <c r="A74" s="12" t="s">
        <v>344</v>
      </c>
      <c r="B74" s="1" t="s">
        <v>4</v>
      </c>
      <c r="C74" s="90">
        <f t="shared" si="17"/>
        <v>0</v>
      </c>
      <c r="D74" s="99">
        <f t="shared" si="48"/>
        <v>0</v>
      </c>
      <c r="E74" s="99">
        <f t="shared" si="48"/>
        <v>0</v>
      </c>
      <c r="F74" s="99">
        <f t="shared" si="48"/>
        <v>0</v>
      </c>
      <c r="G74" s="99">
        <f t="shared" si="48"/>
        <v>0</v>
      </c>
      <c r="H74" s="210">
        <f t="shared" si="48"/>
        <v>0</v>
      </c>
      <c r="I74" s="210">
        <f t="shared" si="48"/>
        <v>0</v>
      </c>
      <c r="J74" s="99">
        <f t="shared" si="48"/>
        <v>0</v>
      </c>
      <c r="K74" s="99">
        <f t="shared" si="48"/>
        <v>0</v>
      </c>
      <c r="L74" s="99">
        <f t="shared" si="49"/>
        <v>0</v>
      </c>
      <c r="M74" s="99">
        <f t="shared" si="49"/>
        <v>0</v>
      </c>
      <c r="N74" s="99">
        <f t="shared" si="50"/>
        <v>0</v>
      </c>
      <c r="O74" s="99">
        <f t="shared" si="50"/>
        <v>0</v>
      </c>
      <c r="P74" s="99">
        <f t="shared" si="50"/>
        <v>0</v>
      </c>
      <c r="Q74" s="26" t="s">
        <v>67</v>
      </c>
    </row>
    <row r="75" spans="1:17" s="4" customFormat="1" ht="70.5" customHeight="1" outlineLevel="1">
      <c r="A75" s="12" t="s">
        <v>296</v>
      </c>
      <c r="B75" s="213" t="s">
        <v>345</v>
      </c>
      <c r="C75" s="90">
        <f t="shared" si="17"/>
        <v>7461.97855</v>
      </c>
      <c r="D75" s="35">
        <f>SUM(D76:D79)</f>
        <v>0</v>
      </c>
      <c r="E75" s="35">
        <f aca="true" t="shared" si="51" ref="E75:K75">SUM(E76:E79)</f>
        <v>0</v>
      </c>
      <c r="F75" s="73">
        <f t="shared" si="51"/>
        <v>0</v>
      </c>
      <c r="G75" s="73">
        <f t="shared" si="51"/>
        <v>0</v>
      </c>
      <c r="H75" s="72">
        <f t="shared" si="51"/>
        <v>6262.29</v>
      </c>
      <c r="I75" s="72">
        <f t="shared" si="51"/>
        <v>1199.68855</v>
      </c>
      <c r="J75" s="78">
        <f t="shared" si="51"/>
        <v>0</v>
      </c>
      <c r="K75" s="78">
        <f t="shared" si="51"/>
        <v>0</v>
      </c>
      <c r="L75" s="78"/>
      <c r="M75" s="78"/>
      <c r="N75" s="78"/>
      <c r="O75" s="78"/>
      <c r="P75" s="78"/>
      <c r="Q75" s="206" t="s">
        <v>346</v>
      </c>
    </row>
    <row r="76" spans="1:17" s="4" customFormat="1" ht="15" outlineLevel="1">
      <c r="A76" s="12" t="s">
        <v>297</v>
      </c>
      <c r="B76" s="5" t="s">
        <v>3</v>
      </c>
      <c r="C76" s="90">
        <f t="shared" si="17"/>
        <v>1199.68855</v>
      </c>
      <c r="D76" s="31"/>
      <c r="E76" s="31"/>
      <c r="F76" s="74"/>
      <c r="G76" s="74"/>
      <c r="H76" s="50"/>
      <c r="I76" s="75">
        <v>1199.68855</v>
      </c>
      <c r="J76" s="79"/>
      <c r="K76" s="79"/>
      <c r="L76" s="222"/>
      <c r="M76" s="222"/>
      <c r="N76" s="222"/>
      <c r="O76" s="222"/>
      <c r="P76" s="222"/>
      <c r="Q76" s="205"/>
    </row>
    <row r="77" spans="1:17" s="4" customFormat="1" ht="15" outlineLevel="1">
      <c r="A77" s="12" t="s">
        <v>298</v>
      </c>
      <c r="B77" s="5" t="s">
        <v>1</v>
      </c>
      <c r="C77" s="90">
        <f t="shared" si="17"/>
        <v>0</v>
      </c>
      <c r="D77" s="31"/>
      <c r="E77" s="31"/>
      <c r="F77" s="74"/>
      <c r="G77" s="74"/>
      <c r="H77" s="50"/>
      <c r="I77" s="74"/>
      <c r="J77" s="79"/>
      <c r="K77" s="79"/>
      <c r="L77" s="222"/>
      <c r="M77" s="222"/>
      <c r="N77" s="222"/>
      <c r="O77" s="222"/>
      <c r="P77" s="222"/>
      <c r="Q77" s="205"/>
    </row>
    <row r="78" spans="1:17" s="4" customFormat="1" ht="15" outlineLevel="1">
      <c r="A78" s="12" t="s">
        <v>299</v>
      </c>
      <c r="B78" s="5" t="s">
        <v>2</v>
      </c>
      <c r="C78" s="90">
        <f t="shared" si="17"/>
        <v>6262.29</v>
      </c>
      <c r="D78" s="31"/>
      <c r="E78" s="31"/>
      <c r="F78" s="74"/>
      <c r="G78" s="74"/>
      <c r="H78" s="65">
        <v>6262.29</v>
      </c>
      <c r="I78" s="74"/>
      <c r="J78" s="79"/>
      <c r="K78" s="79"/>
      <c r="L78" s="222"/>
      <c r="M78" s="222"/>
      <c r="N78" s="222"/>
      <c r="O78" s="222"/>
      <c r="P78" s="222"/>
      <c r="Q78" s="205"/>
    </row>
    <row r="79" spans="1:17" s="4" customFormat="1" ht="15" outlineLevel="1">
      <c r="A79" s="12" t="s">
        <v>300</v>
      </c>
      <c r="B79" s="5" t="s">
        <v>4</v>
      </c>
      <c r="C79" s="90">
        <f t="shared" si="17"/>
        <v>0</v>
      </c>
      <c r="D79" s="39"/>
      <c r="E79" s="39"/>
      <c r="F79" s="131"/>
      <c r="G79" s="131"/>
      <c r="H79" s="185"/>
      <c r="I79" s="132"/>
      <c r="J79" s="155"/>
      <c r="K79" s="155"/>
      <c r="L79" s="223"/>
      <c r="M79" s="223"/>
      <c r="N79" s="223"/>
      <c r="O79" s="223"/>
      <c r="P79" s="223"/>
      <c r="Q79" s="205"/>
    </row>
    <row r="80" spans="1:17" s="2" customFormat="1" ht="15" outlineLevel="1">
      <c r="A80" s="12">
        <v>59</v>
      </c>
      <c r="B80" s="303" t="s">
        <v>75</v>
      </c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5"/>
    </row>
    <row r="81" spans="1:17" s="2" customFormat="1" ht="15" outlineLevel="1">
      <c r="A81" s="12">
        <v>60</v>
      </c>
      <c r="B81" s="47" t="s">
        <v>76</v>
      </c>
      <c r="C81" s="90">
        <f t="shared" si="17"/>
        <v>114820.07540999999</v>
      </c>
      <c r="D81" s="72">
        <f>SUM(D82:D85)</f>
        <v>2073.2</v>
      </c>
      <c r="E81" s="48">
        <f>E82+E83+E84+E85</f>
        <v>0</v>
      </c>
      <c r="F81" s="72">
        <f aca="true" t="shared" si="52" ref="F81:K81">SUM(F82:F85)</f>
        <v>515.34</v>
      </c>
      <c r="G81" s="72">
        <f t="shared" si="52"/>
        <v>5350.7103</v>
      </c>
      <c r="H81" s="72">
        <f t="shared" si="52"/>
        <v>52479.5</v>
      </c>
      <c r="I81" s="237">
        <f t="shared" si="52"/>
        <v>49015.30095</v>
      </c>
      <c r="J81" s="237">
        <f t="shared" si="52"/>
        <v>5386.024160000001</v>
      </c>
      <c r="K81" s="73">
        <f t="shared" si="52"/>
        <v>0</v>
      </c>
      <c r="L81" s="73">
        <f>SUM(L82:L85)</f>
        <v>0</v>
      </c>
      <c r="M81" s="73">
        <f>SUM(M82:M85)</f>
        <v>0</v>
      </c>
      <c r="N81" s="73">
        <f>SUM(N82:N85)</f>
        <v>0</v>
      </c>
      <c r="O81" s="73">
        <f>SUM(O82:O85)</f>
        <v>0</v>
      </c>
      <c r="P81" s="73">
        <f>SUM(P82:P85)</f>
        <v>0</v>
      </c>
      <c r="Q81" s="49" t="s">
        <v>67</v>
      </c>
    </row>
    <row r="82" spans="1:17" s="2" customFormat="1" ht="15" outlineLevel="1">
      <c r="A82" s="12">
        <v>61</v>
      </c>
      <c r="B82" s="47" t="s">
        <v>3</v>
      </c>
      <c r="C82" s="90">
        <f t="shared" si="17"/>
        <v>21786.57541</v>
      </c>
      <c r="D82" s="65">
        <f aca="true" t="shared" si="53" ref="D82:K85">SUM(D88)</f>
        <v>2073.2</v>
      </c>
      <c r="E82" s="182">
        <f t="shared" si="53"/>
        <v>0</v>
      </c>
      <c r="F82" s="65">
        <f t="shared" si="53"/>
        <v>515.34</v>
      </c>
      <c r="G82" s="65">
        <f t="shared" si="53"/>
        <v>5350.7103</v>
      </c>
      <c r="H82" s="65">
        <f t="shared" si="53"/>
        <v>1694.7</v>
      </c>
      <c r="I82" s="65">
        <f t="shared" si="53"/>
        <v>6766.60095</v>
      </c>
      <c r="J82" s="65">
        <f t="shared" si="53"/>
        <v>5386.024160000001</v>
      </c>
      <c r="K82" s="50">
        <f t="shared" si="53"/>
        <v>0</v>
      </c>
      <c r="L82" s="50">
        <f aca="true" t="shared" si="54" ref="L82:M85">SUM(L88)</f>
        <v>0</v>
      </c>
      <c r="M82" s="50">
        <f t="shared" si="54"/>
        <v>0</v>
      </c>
      <c r="N82" s="50">
        <f aca="true" t="shared" si="55" ref="N82:P85">SUM(N88)</f>
        <v>0</v>
      </c>
      <c r="O82" s="50">
        <f t="shared" si="55"/>
        <v>0</v>
      </c>
      <c r="P82" s="50">
        <f t="shared" si="55"/>
        <v>0</v>
      </c>
      <c r="Q82" s="49" t="s">
        <v>67</v>
      </c>
    </row>
    <row r="83" spans="1:17" s="2" customFormat="1" ht="15" outlineLevel="1">
      <c r="A83" s="12">
        <v>62</v>
      </c>
      <c r="B83" s="47" t="s">
        <v>1</v>
      </c>
      <c r="C83" s="90">
        <f t="shared" si="17"/>
        <v>0</v>
      </c>
      <c r="D83" s="65">
        <f t="shared" si="53"/>
        <v>0</v>
      </c>
      <c r="E83" s="182">
        <f t="shared" si="53"/>
        <v>0</v>
      </c>
      <c r="F83" s="65">
        <f t="shared" si="53"/>
        <v>0</v>
      </c>
      <c r="G83" s="65">
        <f t="shared" si="53"/>
        <v>0</v>
      </c>
      <c r="H83" s="65">
        <f t="shared" si="53"/>
        <v>0</v>
      </c>
      <c r="I83" s="65">
        <f t="shared" si="53"/>
        <v>0</v>
      </c>
      <c r="J83" s="50">
        <f t="shared" si="53"/>
        <v>0</v>
      </c>
      <c r="K83" s="50">
        <f t="shared" si="53"/>
        <v>0</v>
      </c>
      <c r="L83" s="50">
        <f t="shared" si="54"/>
        <v>0</v>
      </c>
      <c r="M83" s="50">
        <f t="shared" si="54"/>
        <v>0</v>
      </c>
      <c r="N83" s="50">
        <f t="shared" si="55"/>
        <v>0</v>
      </c>
      <c r="O83" s="50">
        <f t="shared" si="55"/>
        <v>0</v>
      </c>
      <c r="P83" s="50">
        <f t="shared" si="55"/>
        <v>0</v>
      </c>
      <c r="Q83" s="49" t="s">
        <v>67</v>
      </c>
    </row>
    <row r="84" spans="1:17" s="2" customFormat="1" ht="15" outlineLevel="1">
      <c r="A84" s="12">
        <v>63</v>
      </c>
      <c r="B84" s="47" t="s">
        <v>2</v>
      </c>
      <c r="C84" s="90">
        <f t="shared" si="17"/>
        <v>93033.5</v>
      </c>
      <c r="D84" s="65">
        <f t="shared" si="53"/>
        <v>0</v>
      </c>
      <c r="E84" s="182">
        <f t="shared" si="53"/>
        <v>0</v>
      </c>
      <c r="F84" s="65">
        <f t="shared" si="53"/>
        <v>0</v>
      </c>
      <c r="G84" s="65">
        <f t="shared" si="53"/>
        <v>0</v>
      </c>
      <c r="H84" s="65">
        <f t="shared" si="53"/>
        <v>50784.8</v>
      </c>
      <c r="I84" s="65">
        <f t="shared" si="53"/>
        <v>42248.7</v>
      </c>
      <c r="J84" s="50">
        <f t="shared" si="53"/>
        <v>0</v>
      </c>
      <c r="K84" s="50">
        <f t="shared" si="53"/>
        <v>0</v>
      </c>
      <c r="L84" s="50">
        <f t="shared" si="54"/>
        <v>0</v>
      </c>
      <c r="M84" s="50">
        <f t="shared" si="54"/>
        <v>0</v>
      </c>
      <c r="N84" s="50">
        <f t="shared" si="55"/>
        <v>0</v>
      </c>
      <c r="O84" s="50">
        <f t="shared" si="55"/>
        <v>0</v>
      </c>
      <c r="P84" s="50">
        <f t="shared" si="55"/>
        <v>0</v>
      </c>
      <c r="Q84" s="49" t="s">
        <v>67</v>
      </c>
    </row>
    <row r="85" spans="1:17" s="2" customFormat="1" ht="15" outlineLevel="1">
      <c r="A85" s="12">
        <v>64</v>
      </c>
      <c r="B85" s="61" t="s">
        <v>4</v>
      </c>
      <c r="C85" s="90">
        <f t="shared" si="17"/>
        <v>0</v>
      </c>
      <c r="D85" s="65">
        <f t="shared" si="53"/>
        <v>0</v>
      </c>
      <c r="E85" s="182">
        <f t="shared" si="53"/>
        <v>0</v>
      </c>
      <c r="F85" s="65">
        <f t="shared" si="53"/>
        <v>0</v>
      </c>
      <c r="G85" s="65">
        <f t="shared" si="53"/>
        <v>0</v>
      </c>
      <c r="H85" s="65">
        <f t="shared" si="53"/>
        <v>0</v>
      </c>
      <c r="I85" s="65">
        <f t="shared" si="53"/>
        <v>0</v>
      </c>
      <c r="J85" s="50">
        <f t="shared" si="53"/>
        <v>0</v>
      </c>
      <c r="K85" s="50">
        <f t="shared" si="53"/>
        <v>0</v>
      </c>
      <c r="L85" s="50">
        <f t="shared" si="54"/>
        <v>0</v>
      </c>
      <c r="M85" s="50">
        <f t="shared" si="54"/>
        <v>0</v>
      </c>
      <c r="N85" s="50">
        <f t="shared" si="55"/>
        <v>0</v>
      </c>
      <c r="O85" s="50">
        <f t="shared" si="55"/>
        <v>0</v>
      </c>
      <c r="P85" s="50">
        <f t="shared" si="55"/>
        <v>0</v>
      </c>
      <c r="Q85" s="62" t="s">
        <v>67</v>
      </c>
    </row>
    <row r="86" spans="1:17" s="2" customFormat="1" ht="15" outlineLevel="1">
      <c r="A86" s="12">
        <v>65</v>
      </c>
      <c r="B86" s="306" t="s">
        <v>68</v>
      </c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8"/>
    </row>
    <row r="87" spans="1:17" s="2" customFormat="1" ht="30.75" outlineLevel="1">
      <c r="A87" s="12">
        <v>66</v>
      </c>
      <c r="B87" s="47" t="s">
        <v>69</v>
      </c>
      <c r="C87" s="90">
        <f t="shared" si="17"/>
        <v>114820.07540999999</v>
      </c>
      <c r="D87" s="72">
        <f aca="true" t="shared" si="56" ref="D87:I87">SUM(D88:D91)</f>
        <v>2073.2</v>
      </c>
      <c r="E87" s="73">
        <f t="shared" si="56"/>
        <v>0</v>
      </c>
      <c r="F87" s="72">
        <f t="shared" si="56"/>
        <v>515.34</v>
      </c>
      <c r="G87" s="72">
        <f t="shared" si="56"/>
        <v>5350.7103</v>
      </c>
      <c r="H87" s="72">
        <f t="shared" si="56"/>
        <v>52479.5</v>
      </c>
      <c r="I87" s="72">
        <f t="shared" si="56"/>
        <v>49015.30095</v>
      </c>
      <c r="J87" s="72">
        <f aca="true" t="shared" si="57" ref="J87:P87">SUM(J88:J91)</f>
        <v>5386.024160000001</v>
      </c>
      <c r="K87" s="73">
        <f t="shared" si="57"/>
        <v>0</v>
      </c>
      <c r="L87" s="73">
        <f t="shared" si="57"/>
        <v>0</v>
      </c>
      <c r="M87" s="73">
        <f t="shared" si="57"/>
        <v>0</v>
      </c>
      <c r="N87" s="73">
        <f t="shared" si="57"/>
        <v>0</v>
      </c>
      <c r="O87" s="73">
        <f t="shared" si="57"/>
        <v>0</v>
      </c>
      <c r="P87" s="73">
        <f t="shared" si="57"/>
        <v>0</v>
      </c>
      <c r="Q87" s="49" t="s">
        <v>67</v>
      </c>
    </row>
    <row r="88" spans="1:17" s="2" customFormat="1" ht="15" outlineLevel="1">
      <c r="A88" s="12">
        <v>67</v>
      </c>
      <c r="B88" s="47" t="s">
        <v>3</v>
      </c>
      <c r="C88" s="90">
        <f t="shared" si="17"/>
        <v>21786.57541</v>
      </c>
      <c r="D88" s="65">
        <f aca="true" t="shared" si="58" ref="D88:H91">SUM(D93,D98)</f>
        <v>2073.2</v>
      </c>
      <c r="E88" s="74">
        <f t="shared" si="58"/>
        <v>0</v>
      </c>
      <c r="F88" s="75">
        <f t="shared" si="58"/>
        <v>515.34</v>
      </c>
      <c r="G88" s="75">
        <f t="shared" si="58"/>
        <v>5350.7103</v>
      </c>
      <c r="H88" s="75">
        <f t="shared" si="58"/>
        <v>1694.7</v>
      </c>
      <c r="I88" s="75">
        <f aca="true" t="shared" si="59" ref="I88:J91">SUM(I93,I98)</f>
        <v>6766.60095</v>
      </c>
      <c r="J88" s="75">
        <f t="shared" si="59"/>
        <v>5386.024160000001</v>
      </c>
      <c r="K88" s="74">
        <f aca="true" t="shared" si="60" ref="K88:M91">SUM(K93,K98)</f>
        <v>0</v>
      </c>
      <c r="L88" s="74">
        <f t="shared" si="60"/>
        <v>0</v>
      </c>
      <c r="M88" s="74">
        <f t="shared" si="60"/>
        <v>0</v>
      </c>
      <c r="N88" s="74">
        <f aca="true" t="shared" si="61" ref="N88:P91">SUM(N93,N98)</f>
        <v>0</v>
      </c>
      <c r="O88" s="74">
        <f t="shared" si="61"/>
        <v>0</v>
      </c>
      <c r="P88" s="74">
        <f t="shared" si="61"/>
        <v>0</v>
      </c>
      <c r="Q88" s="49" t="s">
        <v>67</v>
      </c>
    </row>
    <row r="89" spans="1:17" s="2" customFormat="1" ht="15" outlineLevel="1">
      <c r="A89" s="12">
        <v>68</v>
      </c>
      <c r="B89" s="47" t="s">
        <v>1</v>
      </c>
      <c r="C89" s="90">
        <f aca="true" t="shared" si="62" ref="C89:C134">SUM(D89:P89)</f>
        <v>0</v>
      </c>
      <c r="D89" s="65">
        <f t="shared" si="58"/>
        <v>0</v>
      </c>
      <c r="E89" s="74">
        <f t="shared" si="58"/>
        <v>0</v>
      </c>
      <c r="F89" s="75">
        <f t="shared" si="58"/>
        <v>0</v>
      </c>
      <c r="G89" s="75">
        <f t="shared" si="58"/>
        <v>0</v>
      </c>
      <c r="H89" s="75">
        <f t="shared" si="58"/>
        <v>0</v>
      </c>
      <c r="I89" s="75">
        <f t="shared" si="59"/>
        <v>0</v>
      </c>
      <c r="J89" s="74">
        <f t="shared" si="59"/>
        <v>0</v>
      </c>
      <c r="K89" s="74">
        <f t="shared" si="60"/>
        <v>0</v>
      </c>
      <c r="L89" s="74">
        <f t="shared" si="60"/>
        <v>0</v>
      </c>
      <c r="M89" s="74">
        <f t="shared" si="60"/>
        <v>0</v>
      </c>
      <c r="N89" s="74">
        <f t="shared" si="61"/>
        <v>0</v>
      </c>
      <c r="O89" s="74">
        <f t="shared" si="61"/>
        <v>0</v>
      </c>
      <c r="P89" s="74">
        <f t="shared" si="61"/>
        <v>0</v>
      </c>
      <c r="Q89" s="49" t="s">
        <v>67</v>
      </c>
    </row>
    <row r="90" spans="1:17" s="2" customFormat="1" ht="15" outlineLevel="1">
      <c r="A90" s="12">
        <v>69</v>
      </c>
      <c r="B90" s="47" t="s">
        <v>2</v>
      </c>
      <c r="C90" s="90">
        <f t="shared" si="62"/>
        <v>93033.5</v>
      </c>
      <c r="D90" s="65">
        <f t="shared" si="58"/>
        <v>0</v>
      </c>
      <c r="E90" s="74">
        <f t="shared" si="58"/>
        <v>0</v>
      </c>
      <c r="F90" s="75">
        <f t="shared" si="58"/>
        <v>0</v>
      </c>
      <c r="G90" s="75">
        <f t="shared" si="58"/>
        <v>0</v>
      </c>
      <c r="H90" s="75">
        <f t="shared" si="58"/>
        <v>50784.8</v>
      </c>
      <c r="I90" s="75">
        <f t="shared" si="59"/>
        <v>42248.7</v>
      </c>
      <c r="J90" s="74">
        <f t="shared" si="59"/>
        <v>0</v>
      </c>
      <c r="K90" s="74">
        <f t="shared" si="60"/>
        <v>0</v>
      </c>
      <c r="L90" s="74">
        <f t="shared" si="60"/>
        <v>0</v>
      </c>
      <c r="M90" s="74">
        <f t="shared" si="60"/>
        <v>0</v>
      </c>
      <c r="N90" s="74">
        <f t="shared" si="61"/>
        <v>0</v>
      </c>
      <c r="O90" s="74">
        <f t="shared" si="61"/>
        <v>0</v>
      </c>
      <c r="P90" s="74">
        <f t="shared" si="61"/>
        <v>0</v>
      </c>
      <c r="Q90" s="49" t="s">
        <v>67</v>
      </c>
    </row>
    <row r="91" spans="1:17" s="2" customFormat="1" ht="15" outlineLevel="1">
      <c r="A91" s="12">
        <v>70</v>
      </c>
      <c r="B91" s="47" t="s">
        <v>4</v>
      </c>
      <c r="C91" s="90">
        <f t="shared" si="62"/>
        <v>0</v>
      </c>
      <c r="D91" s="65">
        <f t="shared" si="58"/>
        <v>0</v>
      </c>
      <c r="E91" s="74">
        <f t="shared" si="58"/>
        <v>0</v>
      </c>
      <c r="F91" s="75">
        <f t="shared" si="58"/>
        <v>0</v>
      </c>
      <c r="G91" s="75">
        <f t="shared" si="58"/>
        <v>0</v>
      </c>
      <c r="H91" s="75">
        <f t="shared" si="58"/>
        <v>0</v>
      </c>
      <c r="I91" s="75">
        <f t="shared" si="59"/>
        <v>0</v>
      </c>
      <c r="J91" s="74">
        <f t="shared" si="59"/>
        <v>0</v>
      </c>
      <c r="K91" s="74">
        <f t="shared" si="60"/>
        <v>0</v>
      </c>
      <c r="L91" s="74">
        <f t="shared" si="60"/>
        <v>0</v>
      </c>
      <c r="M91" s="74">
        <f t="shared" si="60"/>
        <v>0</v>
      </c>
      <c r="N91" s="74">
        <f t="shared" si="61"/>
        <v>0</v>
      </c>
      <c r="O91" s="74">
        <f t="shared" si="61"/>
        <v>0</v>
      </c>
      <c r="P91" s="74">
        <f t="shared" si="61"/>
        <v>0</v>
      </c>
      <c r="Q91" s="49" t="s">
        <v>67</v>
      </c>
    </row>
    <row r="92" spans="1:17" s="2" customFormat="1" ht="93.75" outlineLevel="1">
      <c r="A92" s="12">
        <v>71</v>
      </c>
      <c r="B92" s="47" t="s">
        <v>77</v>
      </c>
      <c r="C92" s="90">
        <f t="shared" si="62"/>
        <v>8063.2503</v>
      </c>
      <c r="D92" s="72">
        <f>SUM(D93:D96)</f>
        <v>2073.2</v>
      </c>
      <c r="E92" s="73">
        <f>E93</f>
        <v>0</v>
      </c>
      <c r="F92" s="72">
        <f aca="true" t="shared" si="63" ref="F92:K92">SUM(F93:F96)</f>
        <v>515.34</v>
      </c>
      <c r="G92" s="72">
        <f t="shared" si="63"/>
        <v>5350.7103</v>
      </c>
      <c r="H92" s="72">
        <f t="shared" si="63"/>
        <v>124</v>
      </c>
      <c r="I92" s="73">
        <f t="shared" si="63"/>
        <v>0</v>
      </c>
      <c r="J92" s="73">
        <f t="shared" si="63"/>
        <v>0</v>
      </c>
      <c r="K92" s="73">
        <f t="shared" si="63"/>
        <v>0</v>
      </c>
      <c r="L92" s="73"/>
      <c r="M92" s="73"/>
      <c r="N92" s="73"/>
      <c r="O92" s="73"/>
      <c r="P92" s="73"/>
      <c r="Q92" s="49">
        <v>11</v>
      </c>
    </row>
    <row r="93" spans="1:17" s="2" customFormat="1" ht="15" outlineLevel="1">
      <c r="A93" s="12">
        <v>72</v>
      </c>
      <c r="B93" s="47" t="s">
        <v>3</v>
      </c>
      <c r="C93" s="90">
        <f t="shared" si="62"/>
        <v>8063.2503</v>
      </c>
      <c r="D93" s="65">
        <f>1773+300.2</f>
        <v>2073.2</v>
      </c>
      <c r="E93" s="50"/>
      <c r="F93" s="75">
        <v>515.34</v>
      </c>
      <c r="G93" s="75">
        <v>5350.7103</v>
      </c>
      <c r="H93" s="75">
        <f>99+25</f>
        <v>124</v>
      </c>
      <c r="I93" s="74"/>
      <c r="J93" s="74"/>
      <c r="K93" s="74"/>
      <c r="L93" s="74"/>
      <c r="M93" s="74"/>
      <c r="N93" s="74"/>
      <c r="O93" s="74"/>
      <c r="P93" s="74"/>
      <c r="Q93" s="49" t="s">
        <v>67</v>
      </c>
    </row>
    <row r="94" spans="1:17" s="2" customFormat="1" ht="15" outlineLevel="1">
      <c r="A94" s="12">
        <v>73</v>
      </c>
      <c r="B94" s="47" t="s">
        <v>1</v>
      </c>
      <c r="C94" s="90">
        <f t="shared" si="62"/>
        <v>0</v>
      </c>
      <c r="D94" s="65"/>
      <c r="E94" s="50"/>
      <c r="F94" s="75"/>
      <c r="G94" s="75"/>
      <c r="H94" s="75"/>
      <c r="I94" s="74"/>
      <c r="J94" s="74"/>
      <c r="K94" s="74"/>
      <c r="L94" s="74"/>
      <c r="M94" s="74"/>
      <c r="N94" s="74"/>
      <c r="O94" s="74"/>
      <c r="P94" s="74"/>
      <c r="Q94" s="49" t="s">
        <v>67</v>
      </c>
    </row>
    <row r="95" spans="1:17" s="2" customFormat="1" ht="15" outlineLevel="1">
      <c r="A95" s="12">
        <v>74</v>
      </c>
      <c r="B95" s="47" t="s">
        <v>2</v>
      </c>
      <c r="C95" s="90">
        <f t="shared" si="62"/>
        <v>0</v>
      </c>
      <c r="D95" s="65"/>
      <c r="E95" s="50"/>
      <c r="F95" s="75"/>
      <c r="G95" s="75"/>
      <c r="H95" s="75"/>
      <c r="I95" s="74"/>
      <c r="J95" s="74"/>
      <c r="K95" s="74"/>
      <c r="L95" s="74"/>
      <c r="M95" s="74"/>
      <c r="N95" s="74"/>
      <c r="O95" s="74"/>
      <c r="P95" s="74"/>
      <c r="Q95" s="49" t="s">
        <v>67</v>
      </c>
    </row>
    <row r="96" spans="1:17" s="2" customFormat="1" ht="15" outlineLevel="1">
      <c r="A96" s="12">
        <v>75</v>
      </c>
      <c r="B96" s="47" t="s">
        <v>4</v>
      </c>
      <c r="C96" s="90">
        <f t="shared" si="62"/>
        <v>0</v>
      </c>
      <c r="D96" s="116"/>
      <c r="E96" s="185"/>
      <c r="F96" s="132"/>
      <c r="G96" s="132"/>
      <c r="H96" s="132"/>
      <c r="I96" s="131"/>
      <c r="J96" s="131"/>
      <c r="K96" s="131"/>
      <c r="L96" s="131"/>
      <c r="M96" s="131"/>
      <c r="N96" s="131"/>
      <c r="O96" s="131"/>
      <c r="P96" s="131"/>
      <c r="Q96" s="49" t="s">
        <v>67</v>
      </c>
    </row>
    <row r="97" spans="1:17" s="2" customFormat="1" ht="62.25" outlineLevel="1">
      <c r="A97" s="12">
        <v>76</v>
      </c>
      <c r="B97" s="47" t="s">
        <v>78</v>
      </c>
      <c r="C97" s="90">
        <f t="shared" si="62"/>
        <v>106756.82511</v>
      </c>
      <c r="D97" s="73">
        <f aca="true" t="shared" si="64" ref="D97:K97">SUM(D98:D101)</f>
        <v>0</v>
      </c>
      <c r="E97" s="73">
        <f t="shared" si="64"/>
        <v>0</v>
      </c>
      <c r="F97" s="73">
        <f t="shared" si="64"/>
        <v>0</v>
      </c>
      <c r="G97" s="73">
        <f t="shared" si="64"/>
        <v>0</v>
      </c>
      <c r="H97" s="72">
        <f t="shared" si="64"/>
        <v>52355.5</v>
      </c>
      <c r="I97" s="72">
        <f t="shared" si="64"/>
        <v>49015.30095</v>
      </c>
      <c r="J97" s="72">
        <f t="shared" si="64"/>
        <v>5386.024160000001</v>
      </c>
      <c r="K97" s="73">
        <f t="shared" si="64"/>
        <v>0</v>
      </c>
      <c r="L97" s="73"/>
      <c r="M97" s="73"/>
      <c r="N97" s="73"/>
      <c r="O97" s="73"/>
      <c r="P97" s="73"/>
      <c r="Q97" s="49" t="s">
        <v>215</v>
      </c>
    </row>
    <row r="98" spans="1:17" s="2" customFormat="1" ht="15" outlineLevel="1">
      <c r="A98" s="12">
        <v>77</v>
      </c>
      <c r="B98" s="47" t="s">
        <v>3</v>
      </c>
      <c r="C98" s="90">
        <f t="shared" si="62"/>
        <v>13723.325110000002</v>
      </c>
      <c r="D98" s="50"/>
      <c r="E98" s="50"/>
      <c r="F98" s="74"/>
      <c r="G98" s="74"/>
      <c r="H98" s="75">
        <v>1570.7</v>
      </c>
      <c r="I98" s="75">
        <f>1906.60095+4860</f>
        <v>6766.60095</v>
      </c>
      <c r="J98" s="75">
        <f>4179.42323+1206.60093</f>
        <v>5386.024160000001</v>
      </c>
      <c r="K98" s="74"/>
      <c r="L98" s="74"/>
      <c r="M98" s="74"/>
      <c r="N98" s="74"/>
      <c r="O98" s="74"/>
      <c r="P98" s="74"/>
      <c r="Q98" s="49" t="s">
        <v>67</v>
      </c>
    </row>
    <row r="99" spans="1:17" s="2" customFormat="1" ht="15" outlineLevel="1">
      <c r="A99" s="12">
        <v>78</v>
      </c>
      <c r="B99" s="47" t="s">
        <v>1</v>
      </c>
      <c r="C99" s="90">
        <f t="shared" si="62"/>
        <v>0</v>
      </c>
      <c r="D99" s="50"/>
      <c r="E99" s="50"/>
      <c r="F99" s="74"/>
      <c r="G99" s="74"/>
      <c r="H99" s="75"/>
      <c r="I99" s="75"/>
      <c r="J99" s="74"/>
      <c r="K99" s="74"/>
      <c r="L99" s="74"/>
      <c r="M99" s="74"/>
      <c r="N99" s="74"/>
      <c r="O99" s="74"/>
      <c r="P99" s="74"/>
      <c r="Q99" s="49" t="s">
        <v>67</v>
      </c>
    </row>
    <row r="100" spans="1:17" s="2" customFormat="1" ht="15" outlineLevel="1">
      <c r="A100" s="12">
        <v>79</v>
      </c>
      <c r="B100" s="47" t="s">
        <v>2</v>
      </c>
      <c r="C100" s="90">
        <f t="shared" si="62"/>
        <v>93033.5</v>
      </c>
      <c r="D100" s="50"/>
      <c r="E100" s="50"/>
      <c r="F100" s="74"/>
      <c r="G100" s="74"/>
      <c r="H100" s="75">
        <v>50784.8</v>
      </c>
      <c r="I100" s="75">
        <v>42248.7</v>
      </c>
      <c r="J100" s="74"/>
      <c r="K100" s="74"/>
      <c r="L100" s="74"/>
      <c r="M100" s="74"/>
      <c r="N100" s="74"/>
      <c r="O100" s="74"/>
      <c r="P100" s="74"/>
      <c r="Q100" s="49" t="s">
        <v>67</v>
      </c>
    </row>
    <row r="101" spans="1:17" s="2" customFormat="1" ht="15" outlineLevel="1">
      <c r="A101" s="12">
        <v>80</v>
      </c>
      <c r="B101" s="61" t="s">
        <v>4</v>
      </c>
      <c r="C101" s="90">
        <f t="shared" si="62"/>
        <v>0</v>
      </c>
      <c r="D101" s="185"/>
      <c r="E101" s="185"/>
      <c r="F101" s="131"/>
      <c r="G101" s="131"/>
      <c r="H101" s="132"/>
      <c r="I101" s="75"/>
      <c r="J101" s="131"/>
      <c r="K101" s="131"/>
      <c r="L101" s="131"/>
      <c r="M101" s="131"/>
      <c r="N101" s="131"/>
      <c r="O101" s="131"/>
      <c r="P101" s="131"/>
      <c r="Q101" s="62" t="s">
        <v>67</v>
      </c>
    </row>
    <row r="102" spans="1:17" s="2" customFormat="1" ht="15" outlineLevel="1">
      <c r="A102" s="12">
        <v>81</v>
      </c>
      <c r="B102" s="309" t="s">
        <v>79</v>
      </c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</row>
    <row r="103" spans="1:17" s="2" customFormat="1" ht="15" outlineLevel="1">
      <c r="A103" s="12">
        <v>82</v>
      </c>
      <c r="B103" s="16" t="s">
        <v>80</v>
      </c>
      <c r="C103" s="90">
        <f t="shared" si="62"/>
        <v>464723.19578</v>
      </c>
      <c r="D103" s="67">
        <f aca="true" t="shared" si="65" ref="D103:I103">SUM(D104:D107)</f>
        <v>99</v>
      </c>
      <c r="E103" s="130">
        <f t="shared" si="65"/>
        <v>0</v>
      </c>
      <c r="F103" s="130">
        <f t="shared" si="65"/>
        <v>0</v>
      </c>
      <c r="G103" s="130">
        <f t="shared" si="65"/>
        <v>0</v>
      </c>
      <c r="H103" s="67">
        <f t="shared" si="65"/>
        <v>3900.1</v>
      </c>
      <c r="I103" s="130">
        <f t="shared" si="65"/>
        <v>0</v>
      </c>
      <c r="J103" s="67">
        <f aca="true" t="shared" si="66" ref="J103:P103">SUM(J104:J107)</f>
        <v>0</v>
      </c>
      <c r="K103" s="67">
        <f t="shared" si="66"/>
        <v>184289.638312</v>
      </c>
      <c r="L103" s="67">
        <f t="shared" si="66"/>
        <v>276434.457468</v>
      </c>
      <c r="M103" s="130">
        <f t="shared" si="66"/>
        <v>0</v>
      </c>
      <c r="N103" s="130">
        <f t="shared" si="66"/>
        <v>0</v>
      </c>
      <c r="O103" s="130">
        <f t="shared" si="66"/>
        <v>0</v>
      </c>
      <c r="P103" s="130">
        <f t="shared" si="66"/>
        <v>0</v>
      </c>
      <c r="Q103" s="57" t="s">
        <v>67</v>
      </c>
    </row>
    <row r="104" spans="1:17" s="2" customFormat="1" ht="15" outlineLevel="1">
      <c r="A104" s="12">
        <v>83</v>
      </c>
      <c r="B104" s="16" t="s">
        <v>3</v>
      </c>
      <c r="C104" s="90">
        <f t="shared" si="62"/>
        <v>3999.1</v>
      </c>
      <c r="D104" s="111">
        <f aca="true" t="shared" si="67" ref="D104:M104">D110</f>
        <v>99</v>
      </c>
      <c r="E104" s="111">
        <f t="shared" si="67"/>
        <v>0</v>
      </c>
      <c r="F104" s="111">
        <f t="shared" si="67"/>
        <v>0</v>
      </c>
      <c r="G104" s="111">
        <f t="shared" si="67"/>
        <v>0</v>
      </c>
      <c r="H104" s="111">
        <f t="shared" si="67"/>
        <v>3900.1</v>
      </c>
      <c r="I104" s="111">
        <f t="shared" si="67"/>
        <v>0</v>
      </c>
      <c r="J104" s="111">
        <f t="shared" si="67"/>
        <v>0</v>
      </c>
      <c r="K104" s="111">
        <f t="shared" si="67"/>
        <v>0</v>
      </c>
      <c r="L104" s="111">
        <f t="shared" si="67"/>
        <v>0</v>
      </c>
      <c r="M104" s="111">
        <f t="shared" si="67"/>
        <v>0</v>
      </c>
      <c r="N104" s="111">
        <f aca="true" t="shared" si="68" ref="N104:P107">N110</f>
        <v>0</v>
      </c>
      <c r="O104" s="111">
        <f t="shared" si="68"/>
        <v>0</v>
      </c>
      <c r="P104" s="111">
        <f t="shared" si="68"/>
        <v>0</v>
      </c>
      <c r="Q104" s="57" t="s">
        <v>67</v>
      </c>
    </row>
    <row r="105" spans="1:17" s="2" customFormat="1" ht="15" outlineLevel="1">
      <c r="A105" s="12">
        <v>84</v>
      </c>
      <c r="B105" s="16" t="s">
        <v>1</v>
      </c>
      <c r="C105" s="90">
        <f t="shared" si="62"/>
        <v>0</v>
      </c>
      <c r="D105" s="111">
        <f aca="true" t="shared" si="69" ref="D105:M105">D111</f>
        <v>0</v>
      </c>
      <c r="E105" s="111">
        <f t="shared" si="69"/>
        <v>0</v>
      </c>
      <c r="F105" s="111">
        <f t="shared" si="69"/>
        <v>0</v>
      </c>
      <c r="G105" s="111">
        <f t="shared" si="69"/>
        <v>0</v>
      </c>
      <c r="H105" s="111">
        <f t="shared" si="69"/>
        <v>0</v>
      </c>
      <c r="I105" s="111">
        <f t="shared" si="69"/>
        <v>0</v>
      </c>
      <c r="J105" s="111">
        <f t="shared" si="69"/>
        <v>0</v>
      </c>
      <c r="K105" s="111">
        <f t="shared" si="69"/>
        <v>0</v>
      </c>
      <c r="L105" s="111">
        <f t="shared" si="69"/>
        <v>0</v>
      </c>
      <c r="M105" s="111">
        <f t="shared" si="69"/>
        <v>0</v>
      </c>
      <c r="N105" s="111">
        <f t="shared" si="68"/>
        <v>0</v>
      </c>
      <c r="O105" s="111">
        <f t="shared" si="68"/>
        <v>0</v>
      </c>
      <c r="P105" s="111">
        <f t="shared" si="68"/>
        <v>0</v>
      </c>
      <c r="Q105" s="57" t="s">
        <v>67</v>
      </c>
    </row>
    <row r="106" spans="1:17" s="2" customFormat="1" ht="15" outlineLevel="1">
      <c r="A106" s="12">
        <v>85</v>
      </c>
      <c r="B106" s="16" t="s">
        <v>2</v>
      </c>
      <c r="C106" s="90">
        <f t="shared" si="62"/>
        <v>0</v>
      </c>
      <c r="D106" s="111">
        <f aca="true" t="shared" si="70" ref="D106:M106">D112</f>
        <v>0</v>
      </c>
      <c r="E106" s="111">
        <f t="shared" si="70"/>
        <v>0</v>
      </c>
      <c r="F106" s="111">
        <f t="shared" si="70"/>
        <v>0</v>
      </c>
      <c r="G106" s="111">
        <f t="shared" si="70"/>
        <v>0</v>
      </c>
      <c r="H106" s="111">
        <f t="shared" si="70"/>
        <v>0</v>
      </c>
      <c r="I106" s="111">
        <f t="shared" si="70"/>
        <v>0</v>
      </c>
      <c r="J106" s="111">
        <f t="shared" si="70"/>
        <v>0</v>
      </c>
      <c r="K106" s="111">
        <f t="shared" si="70"/>
        <v>0</v>
      </c>
      <c r="L106" s="111">
        <f t="shared" si="70"/>
        <v>0</v>
      </c>
      <c r="M106" s="111">
        <f t="shared" si="70"/>
        <v>0</v>
      </c>
      <c r="N106" s="111">
        <f t="shared" si="68"/>
        <v>0</v>
      </c>
      <c r="O106" s="111">
        <f t="shared" si="68"/>
        <v>0</v>
      </c>
      <c r="P106" s="111">
        <f t="shared" si="68"/>
        <v>0</v>
      </c>
      <c r="Q106" s="57" t="s">
        <v>67</v>
      </c>
    </row>
    <row r="107" spans="1:17" s="2" customFormat="1" ht="15" outlineLevel="1">
      <c r="A107" s="12">
        <v>86</v>
      </c>
      <c r="B107" s="56" t="s">
        <v>4</v>
      </c>
      <c r="C107" s="90">
        <f t="shared" si="62"/>
        <v>460724.09578</v>
      </c>
      <c r="D107" s="111">
        <f aca="true" t="shared" si="71" ref="D107:M107">D113</f>
        <v>0</v>
      </c>
      <c r="E107" s="111">
        <f t="shared" si="71"/>
        <v>0</v>
      </c>
      <c r="F107" s="111">
        <f t="shared" si="71"/>
        <v>0</v>
      </c>
      <c r="G107" s="111">
        <f t="shared" si="71"/>
        <v>0</v>
      </c>
      <c r="H107" s="111">
        <f t="shared" si="71"/>
        <v>0</v>
      </c>
      <c r="I107" s="111">
        <f t="shared" si="71"/>
        <v>0</v>
      </c>
      <c r="J107" s="111">
        <f t="shared" si="71"/>
        <v>0</v>
      </c>
      <c r="K107" s="111">
        <f t="shared" si="71"/>
        <v>184289.638312</v>
      </c>
      <c r="L107" s="111">
        <f t="shared" si="71"/>
        <v>276434.457468</v>
      </c>
      <c r="M107" s="111">
        <f t="shared" si="71"/>
        <v>0</v>
      </c>
      <c r="N107" s="111">
        <f t="shared" si="68"/>
        <v>0</v>
      </c>
      <c r="O107" s="111">
        <f t="shared" si="68"/>
        <v>0</v>
      </c>
      <c r="P107" s="111">
        <f t="shared" si="68"/>
        <v>0</v>
      </c>
      <c r="Q107" s="58" t="s">
        <v>67</v>
      </c>
    </row>
    <row r="108" spans="1:17" s="2" customFormat="1" ht="15" outlineLevel="1">
      <c r="A108" s="12">
        <v>87</v>
      </c>
      <c r="B108" s="320" t="s">
        <v>68</v>
      </c>
      <c r="C108" s="321"/>
      <c r="D108" s="321"/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2"/>
    </row>
    <row r="109" spans="1:17" s="2" customFormat="1" ht="30.75" outlineLevel="1">
      <c r="A109" s="12">
        <v>88</v>
      </c>
      <c r="B109" s="16" t="s">
        <v>69</v>
      </c>
      <c r="C109" s="90">
        <f t="shared" si="62"/>
        <v>464723.19578</v>
      </c>
      <c r="D109" s="67">
        <f aca="true" t="shared" si="72" ref="D109:I109">SUM(D110:D113)</f>
        <v>99</v>
      </c>
      <c r="E109" s="130">
        <f t="shared" si="72"/>
        <v>0</v>
      </c>
      <c r="F109" s="130">
        <f t="shared" si="72"/>
        <v>0</v>
      </c>
      <c r="G109" s="130">
        <f t="shared" si="72"/>
        <v>0</v>
      </c>
      <c r="H109" s="67">
        <f t="shared" si="72"/>
        <v>3900.1</v>
      </c>
      <c r="I109" s="130">
        <f t="shared" si="72"/>
        <v>0</v>
      </c>
      <c r="J109" s="67">
        <f>SUM(J110:J113)</f>
        <v>0</v>
      </c>
      <c r="K109" s="67">
        <f>SUM(K110:K113)</f>
        <v>184289.638312</v>
      </c>
      <c r="L109" s="67">
        <f>SUM(L110:L113)</f>
        <v>276434.457468</v>
      </c>
      <c r="M109" s="130"/>
      <c r="N109" s="130"/>
      <c r="O109" s="130"/>
      <c r="P109" s="130"/>
      <c r="Q109" s="57" t="s">
        <v>67</v>
      </c>
    </row>
    <row r="110" spans="1:17" s="2" customFormat="1" ht="15" outlineLevel="1">
      <c r="A110" s="12">
        <v>89</v>
      </c>
      <c r="B110" s="16" t="s">
        <v>3</v>
      </c>
      <c r="C110" s="90">
        <f t="shared" si="62"/>
        <v>3999.1</v>
      </c>
      <c r="D110" s="111">
        <f aca="true" t="shared" si="73" ref="D110:G113">SUM(D115,D120,D125)</f>
        <v>99</v>
      </c>
      <c r="E110" s="111">
        <f t="shared" si="73"/>
        <v>0</v>
      </c>
      <c r="F110" s="111">
        <f t="shared" si="73"/>
        <v>0</v>
      </c>
      <c r="G110" s="111">
        <f t="shared" si="73"/>
        <v>0</v>
      </c>
      <c r="H110" s="111">
        <f>SUM(H115,H120)</f>
        <v>3900.1</v>
      </c>
      <c r="I110" s="111">
        <f aca="true" t="shared" si="74" ref="I110:M113">SUM(I115,I120,I125)</f>
        <v>0</v>
      </c>
      <c r="J110" s="111">
        <f t="shared" si="74"/>
        <v>0</v>
      </c>
      <c r="K110" s="111">
        <f t="shared" si="74"/>
        <v>0</v>
      </c>
      <c r="L110" s="111">
        <f t="shared" si="74"/>
        <v>0</v>
      </c>
      <c r="M110" s="111">
        <f t="shared" si="74"/>
        <v>0</v>
      </c>
      <c r="N110" s="111">
        <f aca="true" t="shared" si="75" ref="N110:P113">SUM(N115,N120,N125)</f>
        <v>0</v>
      </c>
      <c r="O110" s="111">
        <f t="shared" si="75"/>
        <v>0</v>
      </c>
      <c r="P110" s="111">
        <f t="shared" si="75"/>
        <v>0</v>
      </c>
      <c r="Q110" s="57" t="s">
        <v>67</v>
      </c>
    </row>
    <row r="111" spans="1:17" s="2" customFormat="1" ht="15" outlineLevel="1">
      <c r="A111" s="12">
        <v>90</v>
      </c>
      <c r="B111" s="16" t="s">
        <v>1</v>
      </c>
      <c r="C111" s="90">
        <f t="shared" si="62"/>
        <v>0</v>
      </c>
      <c r="D111" s="111">
        <f t="shared" si="73"/>
        <v>0</v>
      </c>
      <c r="E111" s="111">
        <f t="shared" si="73"/>
        <v>0</v>
      </c>
      <c r="F111" s="111">
        <f t="shared" si="73"/>
        <v>0</v>
      </c>
      <c r="G111" s="111">
        <f t="shared" si="73"/>
        <v>0</v>
      </c>
      <c r="H111" s="111">
        <f>SUM(H116,H121)</f>
        <v>0</v>
      </c>
      <c r="I111" s="111">
        <f t="shared" si="74"/>
        <v>0</v>
      </c>
      <c r="J111" s="111">
        <f t="shared" si="74"/>
        <v>0</v>
      </c>
      <c r="K111" s="111">
        <f t="shared" si="74"/>
        <v>0</v>
      </c>
      <c r="L111" s="111">
        <f t="shared" si="74"/>
        <v>0</v>
      </c>
      <c r="M111" s="111">
        <f t="shared" si="74"/>
        <v>0</v>
      </c>
      <c r="N111" s="111">
        <f t="shared" si="75"/>
        <v>0</v>
      </c>
      <c r="O111" s="111">
        <f t="shared" si="75"/>
        <v>0</v>
      </c>
      <c r="P111" s="111">
        <f t="shared" si="75"/>
        <v>0</v>
      </c>
      <c r="Q111" s="57" t="s">
        <v>67</v>
      </c>
    </row>
    <row r="112" spans="1:17" s="2" customFormat="1" ht="15" outlineLevel="1">
      <c r="A112" s="12">
        <v>91</v>
      </c>
      <c r="B112" s="16" t="s">
        <v>2</v>
      </c>
      <c r="C112" s="90">
        <f t="shared" si="62"/>
        <v>0</v>
      </c>
      <c r="D112" s="111">
        <f t="shared" si="73"/>
        <v>0</v>
      </c>
      <c r="E112" s="111">
        <f t="shared" si="73"/>
        <v>0</v>
      </c>
      <c r="F112" s="111">
        <f t="shared" si="73"/>
        <v>0</v>
      </c>
      <c r="G112" s="111">
        <f t="shared" si="73"/>
        <v>0</v>
      </c>
      <c r="H112" s="111">
        <f>SUM(H117,H122)</f>
        <v>0</v>
      </c>
      <c r="I112" s="111">
        <f t="shared" si="74"/>
        <v>0</v>
      </c>
      <c r="J112" s="111">
        <f t="shared" si="74"/>
        <v>0</v>
      </c>
      <c r="K112" s="111">
        <f t="shared" si="74"/>
        <v>0</v>
      </c>
      <c r="L112" s="111">
        <f t="shared" si="74"/>
        <v>0</v>
      </c>
      <c r="M112" s="111">
        <f t="shared" si="74"/>
        <v>0</v>
      </c>
      <c r="N112" s="111">
        <f t="shared" si="75"/>
        <v>0</v>
      </c>
      <c r="O112" s="111">
        <f t="shared" si="75"/>
        <v>0</v>
      </c>
      <c r="P112" s="111">
        <f t="shared" si="75"/>
        <v>0</v>
      </c>
      <c r="Q112" s="57" t="s">
        <v>67</v>
      </c>
    </row>
    <row r="113" spans="1:17" s="2" customFormat="1" ht="15" outlineLevel="1">
      <c r="A113" s="12">
        <v>92</v>
      </c>
      <c r="B113" s="16" t="s">
        <v>4</v>
      </c>
      <c r="C113" s="90">
        <f t="shared" si="62"/>
        <v>460724.09578</v>
      </c>
      <c r="D113" s="111">
        <f t="shared" si="73"/>
        <v>0</v>
      </c>
      <c r="E113" s="111">
        <f t="shared" si="73"/>
        <v>0</v>
      </c>
      <c r="F113" s="111">
        <f t="shared" si="73"/>
        <v>0</v>
      </c>
      <c r="G113" s="111">
        <f t="shared" si="73"/>
        <v>0</v>
      </c>
      <c r="H113" s="111">
        <f>SUM(H118,H123)</f>
        <v>0</v>
      </c>
      <c r="I113" s="111">
        <f t="shared" si="74"/>
        <v>0</v>
      </c>
      <c r="J113" s="111">
        <f t="shared" si="74"/>
        <v>0</v>
      </c>
      <c r="K113" s="111">
        <f t="shared" si="74"/>
        <v>184289.638312</v>
      </c>
      <c r="L113" s="111">
        <f t="shared" si="74"/>
        <v>276434.457468</v>
      </c>
      <c r="M113" s="111">
        <f t="shared" si="74"/>
        <v>0</v>
      </c>
      <c r="N113" s="111">
        <f t="shared" si="75"/>
        <v>0</v>
      </c>
      <c r="O113" s="111">
        <f t="shared" si="75"/>
        <v>0</v>
      </c>
      <c r="P113" s="111">
        <f t="shared" si="75"/>
        <v>0</v>
      </c>
      <c r="Q113" s="57" t="s">
        <v>67</v>
      </c>
    </row>
    <row r="114" spans="1:17" s="4" customFormat="1" ht="78" outlineLevel="1">
      <c r="A114" s="12">
        <v>93</v>
      </c>
      <c r="B114" s="5" t="s">
        <v>81</v>
      </c>
      <c r="C114" s="90">
        <f t="shared" si="62"/>
        <v>99</v>
      </c>
      <c r="D114" s="66">
        <f aca="true" t="shared" si="76" ref="D114:K114">SUM(D115:D118)</f>
        <v>99</v>
      </c>
      <c r="E114" s="154">
        <f t="shared" si="76"/>
        <v>0</v>
      </c>
      <c r="F114" s="130">
        <f t="shared" si="76"/>
        <v>0</v>
      </c>
      <c r="G114" s="130">
        <f t="shared" si="76"/>
        <v>0</v>
      </c>
      <c r="H114" s="130">
        <f t="shared" si="76"/>
        <v>0</v>
      </c>
      <c r="I114" s="130">
        <f t="shared" si="76"/>
        <v>0</v>
      </c>
      <c r="J114" s="154">
        <f t="shared" si="76"/>
        <v>0</v>
      </c>
      <c r="K114" s="154">
        <f t="shared" si="76"/>
        <v>0</v>
      </c>
      <c r="L114" s="154"/>
      <c r="M114" s="154"/>
      <c r="N114" s="154"/>
      <c r="O114" s="154"/>
      <c r="P114" s="154"/>
      <c r="Q114" s="26"/>
    </row>
    <row r="115" spans="1:17" s="4" customFormat="1" ht="15" outlineLevel="1">
      <c r="A115" s="12">
        <v>94</v>
      </c>
      <c r="B115" s="1" t="s">
        <v>3</v>
      </c>
      <c r="C115" s="90">
        <f t="shared" si="62"/>
        <v>99</v>
      </c>
      <c r="D115" s="113">
        <v>99</v>
      </c>
      <c r="E115" s="28"/>
      <c r="F115" s="59"/>
      <c r="G115" s="59"/>
      <c r="H115" s="59"/>
      <c r="I115" s="59"/>
      <c r="J115" s="33"/>
      <c r="K115" s="33"/>
      <c r="L115" s="33"/>
      <c r="M115" s="33"/>
      <c r="N115" s="33"/>
      <c r="O115" s="33"/>
      <c r="P115" s="33"/>
      <c r="Q115" s="26" t="s">
        <v>67</v>
      </c>
    </row>
    <row r="116" spans="1:17" s="4" customFormat="1" ht="15" outlineLevel="1">
      <c r="A116" s="12">
        <v>95</v>
      </c>
      <c r="B116" s="1" t="s">
        <v>1</v>
      </c>
      <c r="C116" s="90">
        <f t="shared" si="62"/>
        <v>0</v>
      </c>
      <c r="D116" s="113"/>
      <c r="E116" s="28"/>
      <c r="F116" s="59"/>
      <c r="G116" s="59"/>
      <c r="H116" s="59"/>
      <c r="I116" s="59"/>
      <c r="J116" s="33"/>
      <c r="K116" s="33"/>
      <c r="L116" s="33"/>
      <c r="M116" s="33"/>
      <c r="N116" s="33"/>
      <c r="O116" s="33"/>
      <c r="P116" s="33"/>
      <c r="Q116" s="26" t="s">
        <v>67</v>
      </c>
    </row>
    <row r="117" spans="1:17" s="4" customFormat="1" ht="15" outlineLevel="1">
      <c r="A117" s="12">
        <v>96</v>
      </c>
      <c r="B117" s="1" t="s">
        <v>2</v>
      </c>
      <c r="C117" s="90">
        <f t="shared" si="62"/>
        <v>0</v>
      </c>
      <c r="D117" s="113"/>
      <c r="E117" s="28"/>
      <c r="F117" s="59"/>
      <c r="G117" s="59"/>
      <c r="H117" s="59"/>
      <c r="I117" s="59"/>
      <c r="J117" s="33"/>
      <c r="K117" s="33"/>
      <c r="L117" s="33"/>
      <c r="M117" s="33"/>
      <c r="N117" s="33"/>
      <c r="O117" s="33"/>
      <c r="P117" s="33"/>
      <c r="Q117" s="26" t="s">
        <v>67</v>
      </c>
    </row>
    <row r="118" spans="1:17" s="4" customFormat="1" ht="15" outlineLevel="1">
      <c r="A118" s="12">
        <v>97</v>
      </c>
      <c r="B118" s="1" t="s">
        <v>4</v>
      </c>
      <c r="C118" s="90">
        <f t="shared" si="62"/>
        <v>0</v>
      </c>
      <c r="D118" s="113"/>
      <c r="E118" s="28"/>
      <c r="F118" s="59"/>
      <c r="G118" s="59"/>
      <c r="H118" s="59"/>
      <c r="I118" s="59"/>
      <c r="J118" s="33"/>
      <c r="K118" s="33"/>
      <c r="L118" s="33"/>
      <c r="M118" s="33"/>
      <c r="N118" s="33"/>
      <c r="O118" s="33"/>
      <c r="P118" s="33"/>
      <c r="Q118" s="26" t="s">
        <v>67</v>
      </c>
    </row>
    <row r="119" spans="1:17" s="4" customFormat="1" ht="78" outlineLevel="1">
      <c r="A119" s="12" t="s">
        <v>226</v>
      </c>
      <c r="B119" s="5" t="s">
        <v>364</v>
      </c>
      <c r="C119" s="90">
        <f t="shared" si="62"/>
        <v>3900.1</v>
      </c>
      <c r="D119" s="154">
        <f aca="true" t="shared" si="77" ref="D119:K119">SUM(D120:D123)</f>
        <v>0</v>
      </c>
      <c r="E119" s="154">
        <f t="shared" si="77"/>
        <v>0</v>
      </c>
      <c r="F119" s="130">
        <f t="shared" si="77"/>
        <v>0</v>
      </c>
      <c r="G119" s="130">
        <f t="shared" si="77"/>
        <v>0</v>
      </c>
      <c r="H119" s="67">
        <f t="shared" si="77"/>
        <v>3900.1</v>
      </c>
      <c r="I119" s="130">
        <f t="shared" si="77"/>
        <v>0</v>
      </c>
      <c r="J119" s="154">
        <f t="shared" si="77"/>
        <v>0</v>
      </c>
      <c r="K119" s="154">
        <f t="shared" si="77"/>
        <v>0</v>
      </c>
      <c r="L119" s="154"/>
      <c r="M119" s="154"/>
      <c r="N119" s="154"/>
      <c r="O119" s="154"/>
      <c r="P119" s="154"/>
      <c r="Q119" s="207" t="s">
        <v>311</v>
      </c>
    </row>
    <row r="120" spans="1:17" s="4" customFormat="1" ht="15" outlineLevel="1">
      <c r="A120" s="12" t="s">
        <v>227</v>
      </c>
      <c r="B120" s="1" t="s">
        <v>3</v>
      </c>
      <c r="C120" s="90">
        <f t="shared" si="62"/>
        <v>3900.1</v>
      </c>
      <c r="D120" s="28"/>
      <c r="E120" s="28"/>
      <c r="F120" s="59"/>
      <c r="G120" s="59"/>
      <c r="H120" s="69">
        <f>4000-99.9</f>
        <v>3900.1</v>
      </c>
      <c r="I120" s="59"/>
      <c r="J120" s="33"/>
      <c r="K120" s="33"/>
      <c r="L120" s="33"/>
      <c r="M120" s="33"/>
      <c r="N120" s="33"/>
      <c r="O120" s="33"/>
      <c r="P120" s="33"/>
      <c r="Q120" s="26"/>
    </row>
    <row r="121" spans="1:17" s="4" customFormat="1" ht="15" outlineLevel="1">
      <c r="A121" s="12" t="s">
        <v>228</v>
      </c>
      <c r="B121" s="1" t="s">
        <v>1</v>
      </c>
      <c r="C121" s="90">
        <f t="shared" si="62"/>
        <v>0</v>
      </c>
      <c r="D121" s="28"/>
      <c r="E121" s="28"/>
      <c r="F121" s="59"/>
      <c r="G121" s="59"/>
      <c r="H121" s="69"/>
      <c r="I121" s="59"/>
      <c r="J121" s="33"/>
      <c r="K121" s="33"/>
      <c r="L121" s="33"/>
      <c r="M121" s="33"/>
      <c r="N121" s="33"/>
      <c r="O121" s="33"/>
      <c r="P121" s="33"/>
      <c r="Q121" s="26"/>
    </row>
    <row r="122" spans="1:17" s="4" customFormat="1" ht="15" outlineLevel="1">
      <c r="A122" s="12" t="s">
        <v>229</v>
      </c>
      <c r="B122" s="1" t="s">
        <v>2</v>
      </c>
      <c r="C122" s="90">
        <f t="shared" si="62"/>
        <v>0</v>
      </c>
      <c r="D122" s="28"/>
      <c r="E122" s="28"/>
      <c r="F122" s="59"/>
      <c r="G122" s="59"/>
      <c r="H122" s="69"/>
      <c r="I122" s="59"/>
      <c r="J122" s="33"/>
      <c r="K122" s="33"/>
      <c r="L122" s="33"/>
      <c r="M122" s="33"/>
      <c r="N122" s="33"/>
      <c r="O122" s="33"/>
      <c r="P122" s="33"/>
      <c r="Q122" s="26"/>
    </row>
    <row r="123" spans="1:17" s="4" customFormat="1" ht="15" outlineLevel="1">
      <c r="A123" s="12" t="s">
        <v>230</v>
      </c>
      <c r="B123" s="1" t="s">
        <v>4</v>
      </c>
      <c r="C123" s="90">
        <f t="shared" si="62"/>
        <v>0</v>
      </c>
      <c r="D123" s="28"/>
      <c r="E123" s="28"/>
      <c r="F123" s="59"/>
      <c r="G123" s="59"/>
      <c r="H123" s="69"/>
      <c r="I123" s="59"/>
      <c r="J123" s="33"/>
      <c r="K123" s="33"/>
      <c r="L123" s="33"/>
      <c r="M123" s="33"/>
      <c r="N123" s="33"/>
      <c r="O123" s="33"/>
      <c r="P123" s="33"/>
      <c r="Q123" s="26"/>
    </row>
    <row r="124" spans="1:17" s="4" customFormat="1" ht="62.25" outlineLevel="1">
      <c r="A124" s="12" t="s">
        <v>393</v>
      </c>
      <c r="B124" s="1" t="s">
        <v>398</v>
      </c>
      <c r="C124" s="90">
        <f t="shared" si="62"/>
        <v>460724.09578</v>
      </c>
      <c r="D124" s="154">
        <f aca="true" t="shared" si="78" ref="D124:M124">SUM(D125:D128)</f>
        <v>0</v>
      </c>
      <c r="E124" s="154">
        <f t="shared" si="78"/>
        <v>0</v>
      </c>
      <c r="F124" s="130">
        <f t="shared" si="78"/>
        <v>0</v>
      </c>
      <c r="G124" s="130">
        <f t="shared" si="78"/>
        <v>0</v>
      </c>
      <c r="H124" s="154">
        <f t="shared" si="78"/>
        <v>0</v>
      </c>
      <c r="I124" s="130">
        <f t="shared" si="78"/>
        <v>0</v>
      </c>
      <c r="J124" s="66">
        <f t="shared" si="78"/>
        <v>0</v>
      </c>
      <c r="K124" s="66">
        <f t="shared" si="78"/>
        <v>184289.638312</v>
      </c>
      <c r="L124" s="66">
        <f t="shared" si="78"/>
        <v>276434.457468</v>
      </c>
      <c r="M124" s="154">
        <f t="shared" si="78"/>
        <v>0</v>
      </c>
      <c r="N124" s="154">
        <f>SUM(N125:N128)</f>
        <v>0</v>
      </c>
      <c r="O124" s="154">
        <f>SUM(O125:O128)</f>
        <v>0</v>
      </c>
      <c r="P124" s="154">
        <f>SUM(P125:P128)</f>
        <v>0</v>
      </c>
      <c r="Q124" s="207" t="s">
        <v>312</v>
      </c>
    </row>
    <row r="125" spans="1:17" s="4" customFormat="1" ht="15" outlineLevel="1">
      <c r="A125" s="12" t="s">
        <v>394</v>
      </c>
      <c r="B125" s="1" t="s">
        <v>3</v>
      </c>
      <c r="C125" s="90">
        <f t="shared" si="62"/>
        <v>0</v>
      </c>
      <c r="D125" s="28"/>
      <c r="E125" s="28"/>
      <c r="F125" s="59"/>
      <c r="G125" s="59"/>
      <c r="H125" s="69"/>
      <c r="I125" s="59"/>
      <c r="J125" s="33"/>
      <c r="K125" s="33"/>
      <c r="L125" s="33"/>
      <c r="M125" s="33"/>
      <c r="N125" s="33"/>
      <c r="O125" s="33"/>
      <c r="P125" s="33"/>
      <c r="Q125" s="26"/>
    </row>
    <row r="126" spans="1:17" s="4" customFormat="1" ht="15" outlineLevel="1">
      <c r="A126" s="12" t="s">
        <v>395</v>
      </c>
      <c r="B126" s="1" t="s">
        <v>1</v>
      </c>
      <c r="C126" s="90">
        <f t="shared" si="62"/>
        <v>0</v>
      </c>
      <c r="D126" s="28"/>
      <c r="E126" s="28"/>
      <c r="F126" s="59"/>
      <c r="G126" s="59"/>
      <c r="H126" s="69"/>
      <c r="I126" s="59"/>
      <c r="J126" s="33"/>
      <c r="K126" s="33"/>
      <c r="L126" s="33"/>
      <c r="M126" s="33"/>
      <c r="N126" s="33"/>
      <c r="O126" s="33"/>
      <c r="P126" s="33"/>
      <c r="Q126" s="26"/>
    </row>
    <row r="127" spans="1:17" s="4" customFormat="1" ht="15" outlineLevel="1">
      <c r="A127" s="12" t="s">
        <v>396</v>
      </c>
      <c r="B127" s="1" t="s">
        <v>2</v>
      </c>
      <c r="C127" s="90">
        <f t="shared" si="62"/>
        <v>0</v>
      </c>
      <c r="D127" s="28"/>
      <c r="E127" s="28"/>
      <c r="F127" s="59"/>
      <c r="G127" s="59"/>
      <c r="H127" s="69"/>
      <c r="I127" s="59"/>
      <c r="J127" s="33"/>
      <c r="K127" s="33"/>
      <c r="L127" s="33"/>
      <c r="M127" s="33"/>
      <c r="N127" s="33"/>
      <c r="O127" s="33"/>
      <c r="P127" s="33"/>
      <c r="Q127" s="26"/>
    </row>
    <row r="128" spans="1:17" s="4" customFormat="1" ht="15" outlineLevel="1">
      <c r="A128" s="12" t="s">
        <v>397</v>
      </c>
      <c r="B128" s="1" t="s">
        <v>4</v>
      </c>
      <c r="C128" s="90">
        <f t="shared" si="62"/>
        <v>460724.09578</v>
      </c>
      <c r="D128" s="28"/>
      <c r="E128" s="28"/>
      <c r="F128" s="59"/>
      <c r="G128" s="59"/>
      <c r="H128" s="69"/>
      <c r="I128" s="59"/>
      <c r="J128" s="68"/>
      <c r="K128" s="68">
        <v>184289.638312</v>
      </c>
      <c r="L128" s="68">
        <v>276434.457468</v>
      </c>
      <c r="M128" s="33"/>
      <c r="N128" s="33"/>
      <c r="O128" s="33"/>
      <c r="P128" s="33"/>
      <c r="Q128" s="26"/>
    </row>
    <row r="129" spans="1:17" s="2" customFormat="1" ht="15">
      <c r="A129" s="15">
        <v>98</v>
      </c>
      <c r="B129" s="309" t="s">
        <v>82</v>
      </c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</row>
    <row r="130" spans="1:17" s="4" customFormat="1" ht="15">
      <c r="A130" s="12">
        <v>99</v>
      </c>
      <c r="B130" s="1" t="s">
        <v>83</v>
      </c>
      <c r="C130" s="90">
        <f t="shared" si="62"/>
        <v>372238.5824335</v>
      </c>
      <c r="D130" s="90">
        <f aca="true" t="shared" si="79" ref="D130:I130">SUM(D131:D134)</f>
        <v>3856.8</v>
      </c>
      <c r="E130" s="90">
        <f t="shared" si="79"/>
        <v>3292.7</v>
      </c>
      <c r="F130" s="91">
        <f>SUM(F131:F134)</f>
        <v>30014.602980000003</v>
      </c>
      <c r="G130" s="91">
        <f t="shared" si="79"/>
        <v>19459.019610000003</v>
      </c>
      <c r="H130" s="91">
        <f t="shared" si="79"/>
        <v>43596.8827935</v>
      </c>
      <c r="I130" s="91">
        <f t="shared" si="79"/>
        <v>100916.24109</v>
      </c>
      <c r="J130" s="90">
        <f aca="true" t="shared" si="80" ref="J130:P130">SUM(J131:J134)</f>
        <v>78749.22495999999</v>
      </c>
      <c r="K130" s="90">
        <f t="shared" si="80"/>
        <v>72308.661</v>
      </c>
      <c r="L130" s="90">
        <f t="shared" si="80"/>
        <v>9861.1</v>
      </c>
      <c r="M130" s="90">
        <f t="shared" si="80"/>
        <v>10183.35</v>
      </c>
      <c r="N130" s="90">
        <f t="shared" si="80"/>
        <v>0</v>
      </c>
      <c r="O130" s="90">
        <f t="shared" si="80"/>
        <v>0</v>
      </c>
      <c r="P130" s="90">
        <f t="shared" si="80"/>
        <v>0</v>
      </c>
      <c r="Q130" s="26" t="s">
        <v>67</v>
      </c>
    </row>
    <row r="131" spans="1:17" s="4" customFormat="1" ht="15">
      <c r="A131" s="12">
        <v>100</v>
      </c>
      <c r="B131" s="1" t="s">
        <v>3</v>
      </c>
      <c r="C131" s="90">
        <f t="shared" si="62"/>
        <v>133061.3844335</v>
      </c>
      <c r="D131" s="99">
        <f aca="true" t="shared" si="81" ref="D131:M131">SUM(D137,D173)</f>
        <v>3856.8</v>
      </c>
      <c r="E131" s="99">
        <f t="shared" si="81"/>
        <v>3292.7</v>
      </c>
      <c r="F131" s="93">
        <f t="shared" si="81"/>
        <v>10130.602980000001</v>
      </c>
      <c r="G131" s="93">
        <f t="shared" si="81"/>
        <v>16603.819610000002</v>
      </c>
      <c r="H131" s="93">
        <f t="shared" si="81"/>
        <v>13871.4827935</v>
      </c>
      <c r="I131" s="93">
        <f t="shared" si="81"/>
        <v>31842.143089999998</v>
      </c>
      <c r="J131" s="93">
        <f t="shared" si="81"/>
        <v>18749.22496</v>
      </c>
      <c r="K131" s="93">
        <f t="shared" si="81"/>
        <v>14670.161</v>
      </c>
      <c r="L131" s="93">
        <f t="shared" si="81"/>
        <v>9861.1</v>
      </c>
      <c r="M131" s="93">
        <f t="shared" si="81"/>
        <v>10183.35</v>
      </c>
      <c r="N131" s="93">
        <f aca="true" t="shared" si="82" ref="N131:P134">SUM(N137,N173)</f>
        <v>0</v>
      </c>
      <c r="O131" s="93">
        <f t="shared" si="82"/>
        <v>0</v>
      </c>
      <c r="P131" s="93">
        <f t="shared" si="82"/>
        <v>0</v>
      </c>
      <c r="Q131" s="26" t="s">
        <v>67</v>
      </c>
    </row>
    <row r="132" spans="1:17" s="4" customFormat="1" ht="15">
      <c r="A132" s="12">
        <v>101</v>
      </c>
      <c r="B132" s="1" t="s">
        <v>1</v>
      </c>
      <c r="C132" s="90">
        <f t="shared" si="62"/>
        <v>0</v>
      </c>
      <c r="D132" s="99">
        <f aca="true" t="shared" si="83" ref="D132:M132">SUM(D138,D174)</f>
        <v>0</v>
      </c>
      <c r="E132" s="99">
        <f t="shared" si="83"/>
        <v>0</v>
      </c>
      <c r="F132" s="93">
        <f t="shared" si="83"/>
        <v>0</v>
      </c>
      <c r="G132" s="93">
        <f t="shared" si="83"/>
        <v>0</v>
      </c>
      <c r="H132" s="93">
        <f t="shared" si="83"/>
        <v>0</v>
      </c>
      <c r="I132" s="93">
        <f t="shared" si="83"/>
        <v>0</v>
      </c>
      <c r="J132" s="93">
        <f t="shared" si="83"/>
        <v>0</v>
      </c>
      <c r="K132" s="93">
        <f t="shared" si="83"/>
        <v>0</v>
      </c>
      <c r="L132" s="93">
        <f t="shared" si="83"/>
        <v>0</v>
      </c>
      <c r="M132" s="93">
        <f t="shared" si="83"/>
        <v>0</v>
      </c>
      <c r="N132" s="93">
        <f t="shared" si="82"/>
        <v>0</v>
      </c>
      <c r="O132" s="93">
        <f t="shared" si="82"/>
        <v>0</v>
      </c>
      <c r="P132" s="93">
        <f t="shared" si="82"/>
        <v>0</v>
      </c>
      <c r="Q132" s="26" t="s">
        <v>67</v>
      </c>
    </row>
    <row r="133" spans="1:17" s="4" customFormat="1" ht="15">
      <c r="A133" s="12">
        <v>102</v>
      </c>
      <c r="B133" s="1" t="s">
        <v>2</v>
      </c>
      <c r="C133" s="90">
        <f t="shared" si="62"/>
        <v>239177.198</v>
      </c>
      <c r="D133" s="99">
        <f aca="true" t="shared" si="84" ref="D133:M133">SUM(D139,D175)</f>
        <v>0</v>
      </c>
      <c r="E133" s="99">
        <f t="shared" si="84"/>
        <v>0</v>
      </c>
      <c r="F133" s="93">
        <f t="shared" si="84"/>
        <v>19884</v>
      </c>
      <c r="G133" s="93">
        <f t="shared" si="84"/>
        <v>2855.2</v>
      </c>
      <c r="H133" s="93">
        <f t="shared" si="84"/>
        <v>29725.4</v>
      </c>
      <c r="I133" s="93">
        <f t="shared" si="84"/>
        <v>69074.098</v>
      </c>
      <c r="J133" s="93">
        <f t="shared" si="84"/>
        <v>60000</v>
      </c>
      <c r="K133" s="93">
        <f t="shared" si="84"/>
        <v>57638.5</v>
      </c>
      <c r="L133" s="93">
        <f t="shared" si="84"/>
        <v>0</v>
      </c>
      <c r="M133" s="93">
        <f t="shared" si="84"/>
        <v>0</v>
      </c>
      <c r="N133" s="93">
        <f t="shared" si="82"/>
        <v>0</v>
      </c>
      <c r="O133" s="93">
        <f t="shared" si="82"/>
        <v>0</v>
      </c>
      <c r="P133" s="93">
        <f t="shared" si="82"/>
        <v>0</v>
      </c>
      <c r="Q133" s="26" t="s">
        <v>67</v>
      </c>
    </row>
    <row r="134" spans="1:17" s="4" customFormat="1" ht="15">
      <c r="A134" s="12">
        <v>103</v>
      </c>
      <c r="B134" s="29" t="s">
        <v>4</v>
      </c>
      <c r="C134" s="90">
        <f t="shared" si="62"/>
        <v>0</v>
      </c>
      <c r="D134" s="99">
        <f aca="true" t="shared" si="85" ref="D134:M134">SUM(D140,D176)</f>
        <v>0</v>
      </c>
      <c r="E134" s="99">
        <f t="shared" si="85"/>
        <v>0</v>
      </c>
      <c r="F134" s="93">
        <f t="shared" si="85"/>
        <v>0</v>
      </c>
      <c r="G134" s="93">
        <f t="shared" si="85"/>
        <v>0</v>
      </c>
      <c r="H134" s="93">
        <f t="shared" si="85"/>
        <v>0</v>
      </c>
      <c r="I134" s="93">
        <f t="shared" si="85"/>
        <v>0</v>
      </c>
      <c r="J134" s="93">
        <f t="shared" si="85"/>
        <v>0</v>
      </c>
      <c r="K134" s="93">
        <f t="shared" si="85"/>
        <v>0</v>
      </c>
      <c r="L134" s="93">
        <f t="shared" si="85"/>
        <v>0</v>
      </c>
      <c r="M134" s="93">
        <f t="shared" si="85"/>
        <v>0</v>
      </c>
      <c r="N134" s="93">
        <f t="shared" si="82"/>
        <v>0</v>
      </c>
      <c r="O134" s="93">
        <f t="shared" si="82"/>
        <v>0</v>
      </c>
      <c r="P134" s="93">
        <f t="shared" si="82"/>
        <v>0</v>
      </c>
      <c r="Q134" s="30" t="s">
        <v>67</v>
      </c>
    </row>
    <row r="135" spans="1:17" s="4" customFormat="1" ht="15">
      <c r="A135" s="12">
        <v>104</v>
      </c>
      <c r="B135" s="278" t="s">
        <v>68</v>
      </c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99"/>
    </row>
    <row r="136" spans="1:17" s="4" customFormat="1" ht="30.75">
      <c r="A136" s="12">
        <v>105</v>
      </c>
      <c r="B136" s="1" t="s">
        <v>69</v>
      </c>
      <c r="C136" s="90">
        <f>SUM(D136:P136)</f>
        <v>252560.4533235</v>
      </c>
      <c r="D136" s="91">
        <f>SUM(D137:D140)</f>
        <v>0</v>
      </c>
      <c r="E136" s="91">
        <f aca="true" t="shared" si="86" ref="E136:M136">SUM(E137:E140)</f>
        <v>0</v>
      </c>
      <c r="F136" s="91">
        <f t="shared" si="86"/>
        <v>0</v>
      </c>
      <c r="G136" s="91">
        <f t="shared" si="86"/>
        <v>3005.5036999999998</v>
      </c>
      <c r="H136" s="91">
        <f t="shared" si="86"/>
        <v>33587.8296235</v>
      </c>
      <c r="I136" s="91">
        <f t="shared" si="86"/>
        <v>81105.323</v>
      </c>
      <c r="J136" s="91">
        <f t="shared" si="86"/>
        <v>71038.687</v>
      </c>
      <c r="K136" s="91">
        <f t="shared" si="86"/>
        <v>63823.11</v>
      </c>
      <c r="L136" s="91">
        <f t="shared" si="86"/>
        <v>0</v>
      </c>
      <c r="M136" s="91">
        <f t="shared" si="86"/>
        <v>0</v>
      </c>
      <c r="N136" s="91">
        <f>SUM(N137:N140)</f>
        <v>0</v>
      </c>
      <c r="O136" s="91">
        <f>SUM(O137:O140)</f>
        <v>0</v>
      </c>
      <c r="P136" s="91">
        <f>SUM(P137:P140)</f>
        <v>0</v>
      </c>
      <c r="Q136" s="26" t="s">
        <v>67</v>
      </c>
    </row>
    <row r="137" spans="1:17" s="4" customFormat="1" ht="15">
      <c r="A137" s="12">
        <v>106</v>
      </c>
      <c r="B137" s="1" t="s">
        <v>3</v>
      </c>
      <c r="C137" s="90">
        <f aca="true" t="shared" si="87" ref="C137:C169">SUM(D137:P137)</f>
        <v>33267.2553235</v>
      </c>
      <c r="D137" s="93">
        <f aca="true" t="shared" si="88" ref="D137:M137">SUM(D142,D147,D152,D157,D162,D167)</f>
        <v>0</v>
      </c>
      <c r="E137" s="93">
        <f t="shared" si="88"/>
        <v>0</v>
      </c>
      <c r="F137" s="93">
        <f t="shared" si="88"/>
        <v>0</v>
      </c>
      <c r="G137" s="93">
        <f t="shared" si="88"/>
        <v>150.3037</v>
      </c>
      <c r="H137" s="93">
        <f t="shared" si="88"/>
        <v>3862.4296235</v>
      </c>
      <c r="I137" s="93">
        <f t="shared" si="88"/>
        <v>12031.224999999999</v>
      </c>
      <c r="J137" s="93">
        <f t="shared" si="88"/>
        <v>11038.687</v>
      </c>
      <c r="K137" s="93">
        <f>SUM(K142,K147,K152,K157,K162,K167)</f>
        <v>6184.610000000001</v>
      </c>
      <c r="L137" s="93">
        <f t="shared" si="88"/>
        <v>0</v>
      </c>
      <c r="M137" s="93">
        <f t="shared" si="88"/>
        <v>0</v>
      </c>
      <c r="N137" s="93">
        <f aca="true" t="shared" si="89" ref="N137:P140">SUM(N142,N147,N152,N157,N162,N167)</f>
        <v>0</v>
      </c>
      <c r="O137" s="93">
        <f t="shared" si="89"/>
        <v>0</v>
      </c>
      <c r="P137" s="93">
        <f t="shared" si="89"/>
        <v>0</v>
      </c>
      <c r="Q137" s="26" t="s">
        <v>67</v>
      </c>
    </row>
    <row r="138" spans="1:17" s="4" customFormat="1" ht="15">
      <c r="A138" s="12">
        <v>107</v>
      </c>
      <c r="B138" s="1" t="s">
        <v>1</v>
      </c>
      <c r="C138" s="90">
        <f t="shared" si="87"/>
        <v>0</v>
      </c>
      <c r="D138" s="93">
        <f aca="true" t="shared" si="90" ref="D138:M138">SUM(D143,D148,D153,D158,D163,D168)</f>
        <v>0</v>
      </c>
      <c r="E138" s="93">
        <f t="shared" si="90"/>
        <v>0</v>
      </c>
      <c r="F138" s="93">
        <f t="shared" si="90"/>
        <v>0</v>
      </c>
      <c r="G138" s="93">
        <f t="shared" si="90"/>
        <v>0</v>
      </c>
      <c r="H138" s="93">
        <f t="shared" si="90"/>
        <v>0</v>
      </c>
      <c r="I138" s="93">
        <f t="shared" si="90"/>
        <v>0</v>
      </c>
      <c r="J138" s="93">
        <f t="shared" si="90"/>
        <v>0</v>
      </c>
      <c r="K138" s="93">
        <f t="shared" si="90"/>
        <v>0</v>
      </c>
      <c r="L138" s="93">
        <f t="shared" si="90"/>
        <v>0</v>
      </c>
      <c r="M138" s="93">
        <f t="shared" si="90"/>
        <v>0</v>
      </c>
      <c r="N138" s="93">
        <f t="shared" si="89"/>
        <v>0</v>
      </c>
      <c r="O138" s="93">
        <f t="shared" si="89"/>
        <v>0</v>
      </c>
      <c r="P138" s="93">
        <f t="shared" si="89"/>
        <v>0</v>
      </c>
      <c r="Q138" s="26" t="s">
        <v>67</v>
      </c>
    </row>
    <row r="139" spans="1:17" s="4" customFormat="1" ht="15">
      <c r="A139" s="12">
        <v>108</v>
      </c>
      <c r="B139" s="1" t="s">
        <v>2</v>
      </c>
      <c r="C139" s="90">
        <f t="shared" si="87"/>
        <v>219293.198</v>
      </c>
      <c r="D139" s="93">
        <f aca="true" t="shared" si="91" ref="D139:M139">SUM(D144,D149,D154,D159,D164,D169)</f>
        <v>0</v>
      </c>
      <c r="E139" s="93">
        <f t="shared" si="91"/>
        <v>0</v>
      </c>
      <c r="F139" s="93">
        <f t="shared" si="91"/>
        <v>0</v>
      </c>
      <c r="G139" s="93">
        <f t="shared" si="91"/>
        <v>2855.2</v>
      </c>
      <c r="H139" s="93">
        <f t="shared" si="91"/>
        <v>29725.4</v>
      </c>
      <c r="I139" s="93">
        <f t="shared" si="91"/>
        <v>69074.098</v>
      </c>
      <c r="J139" s="93">
        <f t="shared" si="91"/>
        <v>60000</v>
      </c>
      <c r="K139" s="93">
        <f t="shared" si="91"/>
        <v>57638.5</v>
      </c>
      <c r="L139" s="93">
        <f t="shared" si="91"/>
        <v>0</v>
      </c>
      <c r="M139" s="93">
        <f t="shared" si="91"/>
        <v>0</v>
      </c>
      <c r="N139" s="93">
        <f t="shared" si="89"/>
        <v>0</v>
      </c>
      <c r="O139" s="93">
        <f t="shared" si="89"/>
        <v>0</v>
      </c>
      <c r="P139" s="93">
        <f t="shared" si="89"/>
        <v>0</v>
      </c>
      <c r="Q139" s="26" t="s">
        <v>67</v>
      </c>
    </row>
    <row r="140" spans="1:17" s="4" customFormat="1" ht="15">
      <c r="A140" s="12">
        <v>109</v>
      </c>
      <c r="B140" s="1" t="s">
        <v>4</v>
      </c>
      <c r="C140" s="90">
        <f t="shared" si="87"/>
        <v>0</v>
      </c>
      <c r="D140" s="93">
        <f aca="true" t="shared" si="92" ref="D140:M140">SUM(D145,D150,D155,D160,D165,D170)</f>
        <v>0</v>
      </c>
      <c r="E140" s="93">
        <f t="shared" si="92"/>
        <v>0</v>
      </c>
      <c r="F140" s="93">
        <f t="shared" si="92"/>
        <v>0</v>
      </c>
      <c r="G140" s="93">
        <f t="shared" si="92"/>
        <v>0</v>
      </c>
      <c r="H140" s="93">
        <f t="shared" si="92"/>
        <v>0</v>
      </c>
      <c r="I140" s="93">
        <f t="shared" si="92"/>
        <v>0</v>
      </c>
      <c r="J140" s="93">
        <f t="shared" si="92"/>
        <v>0</v>
      </c>
      <c r="K140" s="93">
        <f t="shared" si="92"/>
        <v>0</v>
      </c>
      <c r="L140" s="93">
        <f t="shared" si="92"/>
        <v>0</v>
      </c>
      <c r="M140" s="93">
        <f t="shared" si="92"/>
        <v>0</v>
      </c>
      <c r="N140" s="93">
        <f t="shared" si="89"/>
        <v>0</v>
      </c>
      <c r="O140" s="93">
        <f t="shared" si="89"/>
        <v>0</v>
      </c>
      <c r="P140" s="93">
        <f t="shared" si="89"/>
        <v>0</v>
      </c>
      <c r="Q140" s="26" t="s">
        <v>67</v>
      </c>
    </row>
    <row r="141" spans="1:17" s="4" customFormat="1" ht="93.75">
      <c r="A141" s="12">
        <v>110</v>
      </c>
      <c r="B141" s="1" t="s">
        <v>159</v>
      </c>
      <c r="C141" s="90">
        <f t="shared" si="87"/>
        <v>0</v>
      </c>
      <c r="D141" s="130">
        <f>D142+D143+D144+D145</f>
        <v>0</v>
      </c>
      <c r="E141" s="130">
        <f>E142+E143+E144+E145</f>
        <v>0</v>
      </c>
      <c r="F141" s="130">
        <f>F142+F143+F144+F145</f>
        <v>0</v>
      </c>
      <c r="G141" s="130">
        <f>SUM(G142:G145)</f>
        <v>0</v>
      </c>
      <c r="H141" s="130">
        <f>H142+H143+H144+H145</f>
        <v>0</v>
      </c>
      <c r="I141" s="130">
        <f>I142+I143+I144+I145</f>
        <v>0</v>
      </c>
      <c r="J141" s="130">
        <f>J142+J143+J144+J145</f>
        <v>0</v>
      </c>
      <c r="K141" s="130">
        <f>K142+K143+K144+K145</f>
        <v>0</v>
      </c>
      <c r="L141" s="130"/>
      <c r="M141" s="130"/>
      <c r="N141" s="130"/>
      <c r="O141" s="130"/>
      <c r="P141" s="130"/>
      <c r="Q141" s="26"/>
    </row>
    <row r="142" spans="1:17" s="4" customFormat="1" ht="15">
      <c r="A142" s="12">
        <v>111</v>
      </c>
      <c r="B142" s="1" t="s">
        <v>3</v>
      </c>
      <c r="C142" s="90">
        <f t="shared" si="87"/>
        <v>0</v>
      </c>
      <c r="D142" s="28"/>
      <c r="E142" s="28"/>
      <c r="F142" s="59"/>
      <c r="G142" s="59"/>
      <c r="H142" s="59"/>
      <c r="I142" s="59"/>
      <c r="J142" s="33"/>
      <c r="K142" s="33"/>
      <c r="L142" s="33"/>
      <c r="M142" s="33"/>
      <c r="N142" s="33"/>
      <c r="O142" s="33"/>
      <c r="P142" s="33"/>
      <c r="Q142" s="26"/>
    </row>
    <row r="143" spans="1:17" s="4" customFormat="1" ht="15">
      <c r="A143" s="12">
        <v>112</v>
      </c>
      <c r="B143" s="1" t="s">
        <v>1</v>
      </c>
      <c r="C143" s="90">
        <f t="shared" si="87"/>
        <v>0</v>
      </c>
      <c r="D143" s="28"/>
      <c r="E143" s="28"/>
      <c r="F143" s="59"/>
      <c r="G143" s="59"/>
      <c r="H143" s="59"/>
      <c r="I143" s="59"/>
      <c r="J143" s="33"/>
      <c r="K143" s="33"/>
      <c r="L143" s="33"/>
      <c r="M143" s="33"/>
      <c r="N143" s="33"/>
      <c r="O143" s="33"/>
      <c r="P143" s="33"/>
      <c r="Q143" s="26"/>
    </row>
    <row r="144" spans="1:17" s="4" customFormat="1" ht="15">
      <c r="A144" s="12">
        <v>113</v>
      </c>
      <c r="B144" s="1" t="s">
        <v>2</v>
      </c>
      <c r="C144" s="90">
        <f t="shared" si="87"/>
        <v>0</v>
      </c>
      <c r="D144" s="28"/>
      <c r="E144" s="28"/>
      <c r="F144" s="59"/>
      <c r="G144" s="59"/>
      <c r="H144" s="59"/>
      <c r="I144" s="59"/>
      <c r="J144" s="33"/>
      <c r="K144" s="33"/>
      <c r="L144" s="33"/>
      <c r="M144" s="33"/>
      <c r="N144" s="33"/>
      <c r="O144" s="33"/>
      <c r="P144" s="33"/>
      <c r="Q144" s="26"/>
    </row>
    <row r="145" spans="1:17" s="4" customFormat="1" ht="15">
      <c r="A145" s="12">
        <v>114</v>
      </c>
      <c r="B145" s="1" t="s">
        <v>4</v>
      </c>
      <c r="C145" s="90">
        <f t="shared" si="87"/>
        <v>0</v>
      </c>
      <c r="D145" s="28"/>
      <c r="E145" s="28"/>
      <c r="F145" s="59"/>
      <c r="G145" s="59"/>
      <c r="H145" s="59"/>
      <c r="I145" s="59"/>
      <c r="J145" s="33"/>
      <c r="K145" s="33"/>
      <c r="L145" s="33"/>
      <c r="M145" s="33"/>
      <c r="N145" s="33"/>
      <c r="O145" s="33"/>
      <c r="P145" s="33"/>
      <c r="Q145" s="26"/>
    </row>
    <row r="146" spans="1:17" s="4" customFormat="1" ht="62.25">
      <c r="A146" s="12" t="s">
        <v>161</v>
      </c>
      <c r="B146" s="1" t="s">
        <v>160</v>
      </c>
      <c r="C146" s="90">
        <f t="shared" si="87"/>
        <v>33368.7013235</v>
      </c>
      <c r="D146" s="130">
        <f>D147+D148+D149+D150</f>
        <v>0</v>
      </c>
      <c r="E146" s="130">
        <f>E147+E148+E149+E150</f>
        <v>0</v>
      </c>
      <c r="F146" s="130">
        <f>F147+F148+F149+F150</f>
        <v>0</v>
      </c>
      <c r="G146" s="91">
        <f>SUM(G147:G150)</f>
        <v>3005.5036999999998</v>
      </c>
      <c r="H146" s="91">
        <f>H147+H148+H149+H150</f>
        <v>30363.1976235</v>
      </c>
      <c r="I146" s="130">
        <f>I147+I148+I149+I150</f>
        <v>0</v>
      </c>
      <c r="J146" s="130">
        <f>J147+J148+J149+J150</f>
        <v>0</v>
      </c>
      <c r="K146" s="130">
        <f>K147+K148+K149+K150</f>
        <v>0</v>
      </c>
      <c r="L146" s="130"/>
      <c r="M146" s="130"/>
      <c r="N146" s="130"/>
      <c r="O146" s="130"/>
      <c r="P146" s="130"/>
      <c r="Q146" s="26">
        <v>16</v>
      </c>
    </row>
    <row r="147" spans="1:17" s="4" customFormat="1" ht="15">
      <c r="A147" s="12" t="s">
        <v>162</v>
      </c>
      <c r="B147" s="1" t="s">
        <v>3</v>
      </c>
      <c r="C147" s="90">
        <f t="shared" si="87"/>
        <v>3851.5013235</v>
      </c>
      <c r="D147" s="28"/>
      <c r="E147" s="28"/>
      <c r="F147" s="59"/>
      <c r="G147" s="93">
        <v>150.3037</v>
      </c>
      <c r="H147" s="93">
        <f>1403.2328935+93.92293+1376.388-11.9879+933.211-93.5693</f>
        <v>3701.1976235</v>
      </c>
      <c r="I147" s="59"/>
      <c r="J147" s="33"/>
      <c r="K147" s="33"/>
      <c r="L147" s="33"/>
      <c r="M147" s="33"/>
      <c r="N147" s="33"/>
      <c r="O147" s="33"/>
      <c r="P147" s="33"/>
      <c r="Q147" s="26"/>
    </row>
    <row r="148" spans="1:17" s="4" customFormat="1" ht="15">
      <c r="A148" s="12" t="s">
        <v>163</v>
      </c>
      <c r="B148" s="1" t="s">
        <v>1</v>
      </c>
      <c r="C148" s="90">
        <f t="shared" si="87"/>
        <v>0</v>
      </c>
      <c r="D148" s="28"/>
      <c r="E148" s="28"/>
      <c r="F148" s="59"/>
      <c r="G148" s="133"/>
      <c r="H148" s="133"/>
      <c r="I148" s="59"/>
      <c r="J148" s="33"/>
      <c r="K148" s="33"/>
      <c r="L148" s="33"/>
      <c r="M148" s="33"/>
      <c r="N148" s="33"/>
      <c r="O148" s="33"/>
      <c r="P148" s="33"/>
      <c r="Q148" s="26"/>
    </row>
    <row r="149" spans="1:17" s="4" customFormat="1" ht="15">
      <c r="A149" s="12" t="s">
        <v>164</v>
      </c>
      <c r="B149" s="1" t="s">
        <v>2</v>
      </c>
      <c r="C149" s="90">
        <f t="shared" si="87"/>
        <v>29517.2</v>
      </c>
      <c r="D149" s="28"/>
      <c r="E149" s="28"/>
      <c r="F149" s="59"/>
      <c r="G149" s="93">
        <v>2855.2</v>
      </c>
      <c r="H149" s="93">
        <v>26662</v>
      </c>
      <c r="I149" s="59"/>
      <c r="J149" s="33"/>
      <c r="K149" s="33"/>
      <c r="L149" s="33"/>
      <c r="M149" s="33"/>
      <c r="N149" s="33"/>
      <c r="O149" s="33"/>
      <c r="P149" s="33"/>
      <c r="Q149" s="26"/>
    </row>
    <row r="150" spans="1:17" s="4" customFormat="1" ht="15">
      <c r="A150" s="12" t="s">
        <v>165</v>
      </c>
      <c r="B150" s="1" t="s">
        <v>4</v>
      </c>
      <c r="C150" s="90">
        <f t="shared" si="87"/>
        <v>0</v>
      </c>
      <c r="D150" s="28"/>
      <c r="E150" s="28"/>
      <c r="F150" s="59"/>
      <c r="G150" s="133"/>
      <c r="H150" s="93"/>
      <c r="I150" s="59"/>
      <c r="J150" s="33"/>
      <c r="K150" s="33"/>
      <c r="L150" s="33"/>
      <c r="M150" s="33"/>
      <c r="N150" s="33"/>
      <c r="O150" s="33"/>
      <c r="P150" s="33"/>
      <c r="Q150" s="26"/>
    </row>
    <row r="151" spans="1:17" s="4" customFormat="1" ht="109.5">
      <c r="A151" s="15" t="s">
        <v>319</v>
      </c>
      <c r="B151" s="16" t="s">
        <v>342</v>
      </c>
      <c r="C151" s="90">
        <f t="shared" si="87"/>
        <v>75157.00899999999</v>
      </c>
      <c r="D151" s="130">
        <f aca="true" t="shared" si="93" ref="D151:K151">D152+D153+D154+D155</f>
        <v>0</v>
      </c>
      <c r="E151" s="130">
        <f t="shared" si="93"/>
        <v>0</v>
      </c>
      <c r="F151" s="130">
        <f t="shared" si="93"/>
        <v>0</v>
      </c>
      <c r="G151" s="130">
        <f t="shared" si="93"/>
        <v>0</v>
      </c>
      <c r="H151" s="67">
        <f t="shared" si="93"/>
        <v>3224.632</v>
      </c>
      <c r="I151" s="67">
        <f>I152+I153+I154+I155</f>
        <v>71932.377</v>
      </c>
      <c r="J151" s="130">
        <f t="shared" si="93"/>
        <v>0</v>
      </c>
      <c r="K151" s="130">
        <f t="shared" si="93"/>
        <v>0</v>
      </c>
      <c r="L151" s="130"/>
      <c r="M151" s="130"/>
      <c r="N151" s="130"/>
      <c r="O151" s="130"/>
      <c r="P151" s="130"/>
      <c r="Q151" s="26"/>
    </row>
    <row r="152" spans="1:17" s="4" customFormat="1" ht="15">
      <c r="A152" s="15" t="s">
        <v>320</v>
      </c>
      <c r="B152" s="1" t="s">
        <v>3</v>
      </c>
      <c r="C152" s="90">
        <f t="shared" si="87"/>
        <v>6019.510999999999</v>
      </c>
      <c r="D152" s="28"/>
      <c r="E152" s="28"/>
      <c r="F152" s="59"/>
      <c r="G152" s="93"/>
      <c r="H152" s="93">
        <v>161.232</v>
      </c>
      <c r="I152" s="75">
        <f>3477.586+700+983.494+697.199</f>
        <v>5858.278999999999</v>
      </c>
      <c r="J152" s="33"/>
      <c r="K152" s="33"/>
      <c r="L152" s="33"/>
      <c r="M152" s="33"/>
      <c r="N152" s="33"/>
      <c r="O152" s="33"/>
      <c r="P152" s="33"/>
      <c r="Q152" s="26"/>
    </row>
    <row r="153" spans="1:17" s="4" customFormat="1" ht="15">
      <c r="A153" s="15" t="s">
        <v>321</v>
      </c>
      <c r="B153" s="1" t="s">
        <v>1</v>
      </c>
      <c r="C153" s="90">
        <f t="shared" si="87"/>
        <v>0</v>
      </c>
      <c r="D153" s="28"/>
      <c r="E153" s="28"/>
      <c r="F153" s="59"/>
      <c r="G153" s="133"/>
      <c r="H153" s="133"/>
      <c r="I153" s="59"/>
      <c r="J153" s="33"/>
      <c r="K153" s="33"/>
      <c r="L153" s="33"/>
      <c r="M153" s="33"/>
      <c r="N153" s="33"/>
      <c r="O153" s="33"/>
      <c r="P153" s="33"/>
      <c r="Q153" s="26"/>
    </row>
    <row r="154" spans="1:17" s="4" customFormat="1" ht="15">
      <c r="A154" s="15" t="s">
        <v>322</v>
      </c>
      <c r="B154" s="1" t="s">
        <v>2</v>
      </c>
      <c r="C154" s="90">
        <f t="shared" si="87"/>
        <v>69137.49799999999</v>
      </c>
      <c r="D154" s="28"/>
      <c r="E154" s="28"/>
      <c r="F154" s="59"/>
      <c r="G154" s="93"/>
      <c r="H154" s="93">
        <v>3063.4</v>
      </c>
      <c r="I154" s="69">
        <v>66074.098</v>
      </c>
      <c r="J154" s="33"/>
      <c r="K154" s="33"/>
      <c r="L154" s="33"/>
      <c r="M154" s="33"/>
      <c r="N154" s="33"/>
      <c r="O154" s="33"/>
      <c r="P154" s="33"/>
      <c r="Q154" s="26"/>
    </row>
    <row r="155" spans="1:17" s="4" customFormat="1" ht="15">
      <c r="A155" s="15" t="s">
        <v>323</v>
      </c>
      <c r="B155" s="1" t="s">
        <v>4</v>
      </c>
      <c r="C155" s="90">
        <f t="shared" si="87"/>
        <v>0</v>
      </c>
      <c r="D155" s="28"/>
      <c r="E155" s="28"/>
      <c r="F155" s="59"/>
      <c r="G155" s="133"/>
      <c r="H155" s="93"/>
      <c r="I155" s="93"/>
      <c r="J155" s="33"/>
      <c r="K155" s="33"/>
      <c r="L155" s="33"/>
      <c r="M155" s="33"/>
      <c r="N155" s="33"/>
      <c r="O155" s="33"/>
      <c r="P155" s="33"/>
      <c r="Q155" s="26"/>
    </row>
    <row r="156" spans="1:17" s="4" customFormat="1" ht="78">
      <c r="A156" s="15" t="s">
        <v>324</v>
      </c>
      <c r="B156" s="16" t="s">
        <v>341</v>
      </c>
      <c r="C156" s="90">
        <f t="shared" si="87"/>
        <v>8551.289</v>
      </c>
      <c r="D156" s="130">
        <f aca="true" t="shared" si="94" ref="D156:K156">D157+D158+D159+D160</f>
        <v>0</v>
      </c>
      <c r="E156" s="130">
        <f t="shared" si="94"/>
        <v>0</v>
      </c>
      <c r="F156" s="130">
        <f t="shared" si="94"/>
        <v>0</v>
      </c>
      <c r="G156" s="130">
        <f t="shared" si="94"/>
        <v>0</v>
      </c>
      <c r="H156" s="67">
        <f t="shared" si="94"/>
        <v>0</v>
      </c>
      <c r="I156" s="67">
        <f t="shared" si="94"/>
        <v>6000.289</v>
      </c>
      <c r="J156" s="130">
        <f t="shared" si="94"/>
        <v>0</v>
      </c>
      <c r="K156" s="67">
        <f t="shared" si="94"/>
        <v>2551</v>
      </c>
      <c r="L156" s="130"/>
      <c r="M156" s="130"/>
      <c r="N156" s="130"/>
      <c r="O156" s="130"/>
      <c r="P156" s="130"/>
      <c r="Q156" s="26"/>
    </row>
    <row r="157" spans="1:17" s="4" customFormat="1" ht="15">
      <c r="A157" s="15" t="s">
        <v>325</v>
      </c>
      <c r="B157" s="1" t="s">
        <v>3</v>
      </c>
      <c r="C157" s="90">
        <f t="shared" si="87"/>
        <v>8551.289</v>
      </c>
      <c r="D157" s="28"/>
      <c r="E157" s="28"/>
      <c r="F157" s="59"/>
      <c r="G157" s="93"/>
      <c r="H157" s="93"/>
      <c r="I157" s="69">
        <v>6000.289</v>
      </c>
      <c r="J157" s="33"/>
      <c r="K157" s="69">
        <f>2200+51+300</f>
        <v>2551</v>
      </c>
      <c r="L157" s="33"/>
      <c r="M157" s="33"/>
      <c r="N157" s="33"/>
      <c r="O157" s="33"/>
      <c r="P157" s="33"/>
      <c r="Q157" s="26"/>
    </row>
    <row r="158" spans="1:17" s="4" customFormat="1" ht="15">
      <c r="A158" s="15" t="s">
        <v>326</v>
      </c>
      <c r="B158" s="1" t="s">
        <v>1</v>
      </c>
      <c r="C158" s="90">
        <f t="shared" si="87"/>
        <v>0</v>
      </c>
      <c r="D158" s="28"/>
      <c r="E158" s="28"/>
      <c r="F158" s="59"/>
      <c r="G158" s="133"/>
      <c r="H158" s="133"/>
      <c r="I158" s="59"/>
      <c r="J158" s="33"/>
      <c r="K158" s="33"/>
      <c r="L158" s="33"/>
      <c r="M158" s="33"/>
      <c r="N158" s="33"/>
      <c r="O158" s="33"/>
      <c r="P158" s="33"/>
      <c r="Q158" s="26"/>
    </row>
    <row r="159" spans="1:17" s="4" customFormat="1" ht="15">
      <c r="A159" s="15" t="s">
        <v>327</v>
      </c>
      <c r="B159" s="1" t="s">
        <v>2</v>
      </c>
      <c r="C159" s="90">
        <f t="shared" si="87"/>
        <v>0</v>
      </c>
      <c r="D159" s="28"/>
      <c r="E159" s="28"/>
      <c r="F159" s="59"/>
      <c r="G159" s="93"/>
      <c r="H159" s="93"/>
      <c r="I159" s="69"/>
      <c r="J159" s="33"/>
      <c r="K159" s="33"/>
      <c r="L159" s="33"/>
      <c r="M159" s="33"/>
      <c r="N159" s="33"/>
      <c r="O159" s="33"/>
      <c r="P159" s="33"/>
      <c r="Q159" s="26"/>
    </row>
    <row r="160" spans="1:17" s="4" customFormat="1" ht="15">
      <c r="A160" s="15" t="s">
        <v>328</v>
      </c>
      <c r="B160" s="1" t="s">
        <v>4</v>
      </c>
      <c r="C160" s="90">
        <f t="shared" si="87"/>
        <v>0</v>
      </c>
      <c r="D160" s="28"/>
      <c r="E160" s="28"/>
      <c r="F160" s="59"/>
      <c r="G160" s="133"/>
      <c r="H160" s="93"/>
      <c r="I160" s="69"/>
      <c r="J160" s="33"/>
      <c r="K160" s="33"/>
      <c r="L160" s="33"/>
      <c r="M160" s="33"/>
      <c r="N160" s="33"/>
      <c r="O160" s="33"/>
      <c r="P160" s="33"/>
      <c r="Q160" s="26"/>
    </row>
    <row r="161" spans="1:17" s="4" customFormat="1" ht="93.75">
      <c r="A161" s="15" t="s">
        <v>366</v>
      </c>
      <c r="B161" s="16" t="s">
        <v>376</v>
      </c>
      <c r="C161" s="90">
        <f t="shared" si="87"/>
        <v>7084.762</v>
      </c>
      <c r="D161" s="130">
        <f aca="true" t="shared" si="95" ref="D161:K161">D162+D163+D164+D165</f>
        <v>0</v>
      </c>
      <c r="E161" s="130">
        <f t="shared" si="95"/>
        <v>0</v>
      </c>
      <c r="F161" s="130">
        <f t="shared" si="95"/>
        <v>0</v>
      </c>
      <c r="G161" s="130">
        <f t="shared" si="95"/>
        <v>0</v>
      </c>
      <c r="H161" s="130">
        <f t="shared" si="95"/>
        <v>0</v>
      </c>
      <c r="I161" s="130">
        <f t="shared" si="95"/>
        <v>0</v>
      </c>
      <c r="J161" s="67">
        <f t="shared" si="95"/>
        <v>7084.762</v>
      </c>
      <c r="K161" s="130">
        <f t="shared" si="95"/>
        <v>0</v>
      </c>
      <c r="L161" s="130"/>
      <c r="M161" s="130"/>
      <c r="N161" s="130"/>
      <c r="O161" s="130"/>
      <c r="P161" s="130"/>
      <c r="Q161" s="26"/>
    </row>
    <row r="162" spans="1:17" s="4" customFormat="1" ht="15">
      <c r="A162" s="15" t="s">
        <v>367</v>
      </c>
      <c r="B162" s="1" t="s">
        <v>3</v>
      </c>
      <c r="C162" s="90">
        <f t="shared" si="87"/>
        <v>7084.762</v>
      </c>
      <c r="D162" s="28"/>
      <c r="E162" s="28"/>
      <c r="F162" s="59"/>
      <c r="G162" s="93"/>
      <c r="H162" s="93"/>
      <c r="I162" s="69"/>
      <c r="J162" s="68">
        <v>7084.762</v>
      </c>
      <c r="K162" s="33"/>
      <c r="L162" s="33"/>
      <c r="M162" s="33"/>
      <c r="N162" s="33"/>
      <c r="O162" s="33"/>
      <c r="P162" s="33"/>
      <c r="Q162" s="26"/>
    </row>
    <row r="163" spans="1:17" s="4" customFormat="1" ht="15">
      <c r="A163" s="15" t="s">
        <v>368</v>
      </c>
      <c r="B163" s="1" t="s">
        <v>1</v>
      </c>
      <c r="C163" s="90">
        <f t="shared" si="87"/>
        <v>0</v>
      </c>
      <c r="D163" s="28"/>
      <c r="E163" s="28"/>
      <c r="F163" s="59"/>
      <c r="G163" s="133"/>
      <c r="H163" s="133"/>
      <c r="I163" s="59"/>
      <c r="J163" s="33"/>
      <c r="K163" s="33"/>
      <c r="L163" s="33"/>
      <c r="M163" s="33"/>
      <c r="N163" s="33"/>
      <c r="O163" s="33"/>
      <c r="P163" s="33"/>
      <c r="Q163" s="26"/>
    </row>
    <row r="164" spans="1:17" s="4" customFormat="1" ht="15">
      <c r="A164" s="15" t="s">
        <v>369</v>
      </c>
      <c r="B164" s="1" t="s">
        <v>2</v>
      </c>
      <c r="C164" s="90">
        <f t="shared" si="87"/>
        <v>0</v>
      </c>
      <c r="D164" s="28"/>
      <c r="E164" s="28"/>
      <c r="F164" s="59"/>
      <c r="G164" s="93"/>
      <c r="H164" s="93"/>
      <c r="I164" s="69"/>
      <c r="J164" s="33"/>
      <c r="K164" s="33"/>
      <c r="L164" s="33"/>
      <c r="M164" s="33"/>
      <c r="N164" s="33"/>
      <c r="O164" s="33"/>
      <c r="P164" s="33"/>
      <c r="Q164" s="26"/>
    </row>
    <row r="165" spans="1:17" s="4" customFormat="1" ht="15">
      <c r="A165" s="15" t="s">
        <v>370</v>
      </c>
      <c r="B165" s="1" t="s">
        <v>4</v>
      </c>
      <c r="C165" s="90">
        <f t="shared" si="87"/>
        <v>0</v>
      </c>
      <c r="D165" s="28"/>
      <c r="E165" s="28"/>
      <c r="F165" s="59"/>
      <c r="G165" s="133"/>
      <c r="H165" s="93"/>
      <c r="I165" s="69"/>
      <c r="J165" s="33"/>
      <c r="K165" s="33"/>
      <c r="L165" s="33"/>
      <c r="M165" s="33"/>
      <c r="N165" s="33"/>
      <c r="O165" s="33"/>
      <c r="P165" s="33"/>
      <c r="Q165" s="26"/>
    </row>
    <row r="166" spans="1:17" s="4" customFormat="1" ht="62.25">
      <c r="A166" s="15" t="s">
        <v>401</v>
      </c>
      <c r="B166" s="16" t="s">
        <v>406</v>
      </c>
      <c r="C166" s="90">
        <f t="shared" si="87"/>
        <v>128398.69200000001</v>
      </c>
      <c r="D166" s="130">
        <f aca="true" t="shared" si="96" ref="D166:M166">D167+D168+D169+D170</f>
        <v>0</v>
      </c>
      <c r="E166" s="130">
        <f t="shared" si="96"/>
        <v>0</v>
      </c>
      <c r="F166" s="130">
        <f t="shared" si="96"/>
        <v>0</v>
      </c>
      <c r="G166" s="130">
        <f t="shared" si="96"/>
        <v>0</v>
      </c>
      <c r="H166" s="130">
        <f t="shared" si="96"/>
        <v>0</v>
      </c>
      <c r="I166" s="67">
        <f t="shared" si="96"/>
        <v>3172.657</v>
      </c>
      <c r="J166" s="67">
        <f t="shared" si="96"/>
        <v>63953.925</v>
      </c>
      <c r="K166" s="67">
        <f>K167+K168+K169+K170</f>
        <v>61272.11</v>
      </c>
      <c r="L166" s="130">
        <f>L167+L168+L169+L170</f>
        <v>0</v>
      </c>
      <c r="M166" s="130">
        <f t="shared" si="96"/>
        <v>0</v>
      </c>
      <c r="N166" s="130">
        <f>N167+N168+N169+N170</f>
        <v>0</v>
      </c>
      <c r="O166" s="130">
        <f>O167+O168+O169+O170</f>
        <v>0</v>
      </c>
      <c r="P166" s="130">
        <f>P167+P168+P169+P170</f>
        <v>0</v>
      </c>
      <c r="Q166" s="26"/>
    </row>
    <row r="167" spans="1:17" s="4" customFormat="1" ht="15">
      <c r="A167" s="15" t="s">
        <v>402</v>
      </c>
      <c r="B167" s="1" t="s">
        <v>3</v>
      </c>
      <c r="C167" s="90">
        <f t="shared" si="87"/>
        <v>7760.192000000001</v>
      </c>
      <c r="D167" s="28"/>
      <c r="E167" s="28"/>
      <c r="F167" s="59"/>
      <c r="G167" s="93"/>
      <c r="H167" s="93"/>
      <c r="I167" s="69">
        <f>157.9+14.757</f>
        <v>172.657</v>
      </c>
      <c r="J167" s="68">
        <f>3158+295.141+2+71.904+304.849+122.031</f>
        <v>3953.925</v>
      </c>
      <c r="K167" s="68">
        <f>3033.61+549+51</f>
        <v>3633.61</v>
      </c>
      <c r="L167" s="33"/>
      <c r="M167" s="33"/>
      <c r="N167" s="33"/>
      <c r="O167" s="33"/>
      <c r="P167" s="33"/>
      <c r="Q167" s="26"/>
    </row>
    <row r="168" spans="1:17" s="4" customFormat="1" ht="15">
      <c r="A168" s="15" t="s">
        <v>403</v>
      </c>
      <c r="B168" s="1" t="s">
        <v>1</v>
      </c>
      <c r="C168" s="90">
        <f t="shared" si="87"/>
        <v>0</v>
      </c>
      <c r="D168" s="28"/>
      <c r="E168" s="28"/>
      <c r="F168" s="59"/>
      <c r="G168" s="133"/>
      <c r="H168" s="133"/>
      <c r="I168" s="59"/>
      <c r="J168" s="33"/>
      <c r="K168" s="33"/>
      <c r="L168" s="33"/>
      <c r="M168" s="33"/>
      <c r="N168" s="33"/>
      <c r="O168" s="33"/>
      <c r="P168" s="33"/>
      <c r="Q168" s="26"/>
    </row>
    <row r="169" spans="1:17" s="4" customFormat="1" ht="15">
      <c r="A169" s="15" t="s">
        <v>404</v>
      </c>
      <c r="B169" s="1" t="s">
        <v>2</v>
      </c>
      <c r="C169" s="90">
        <f t="shared" si="87"/>
        <v>120638.5</v>
      </c>
      <c r="D169" s="28"/>
      <c r="E169" s="28"/>
      <c r="F169" s="59"/>
      <c r="G169" s="93"/>
      <c r="H169" s="93"/>
      <c r="I169" s="69">
        <v>3000</v>
      </c>
      <c r="J169" s="33">
        <v>60000</v>
      </c>
      <c r="K169" s="68">
        <v>57638.5</v>
      </c>
      <c r="L169" s="33"/>
      <c r="M169" s="33"/>
      <c r="N169" s="33"/>
      <c r="O169" s="33"/>
      <c r="P169" s="33"/>
      <c r="Q169" s="26"/>
    </row>
    <row r="170" spans="1:17" s="4" customFormat="1" ht="15">
      <c r="A170" s="15" t="s">
        <v>405</v>
      </c>
      <c r="B170" s="1" t="s">
        <v>4</v>
      </c>
      <c r="C170" s="90">
        <f>SUM(D170:P170)</f>
        <v>0</v>
      </c>
      <c r="D170" s="28"/>
      <c r="E170" s="28"/>
      <c r="F170" s="59"/>
      <c r="G170" s="133"/>
      <c r="H170" s="93"/>
      <c r="I170" s="69"/>
      <c r="J170" s="68"/>
      <c r="K170" s="68"/>
      <c r="L170" s="33"/>
      <c r="M170" s="33"/>
      <c r="N170" s="33"/>
      <c r="O170" s="33"/>
      <c r="P170" s="33"/>
      <c r="Q170" s="26"/>
    </row>
    <row r="171" spans="1:17" s="4" customFormat="1" ht="15">
      <c r="A171" s="12">
        <v>115</v>
      </c>
      <c r="B171" s="257" t="s">
        <v>70</v>
      </c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</row>
    <row r="172" spans="1:17" s="4" customFormat="1" ht="30.75">
      <c r="A172" s="12">
        <v>116</v>
      </c>
      <c r="B172" s="1" t="s">
        <v>71</v>
      </c>
      <c r="C172" s="90">
        <f>SUM(D172:P172)</f>
        <v>119678.12911000001</v>
      </c>
      <c r="D172" s="101">
        <f aca="true" t="shared" si="97" ref="D172:I172">SUM(D173:D176)</f>
        <v>3856.8</v>
      </c>
      <c r="E172" s="101">
        <f t="shared" si="97"/>
        <v>3292.7</v>
      </c>
      <c r="F172" s="134">
        <f t="shared" si="97"/>
        <v>30014.602980000003</v>
      </c>
      <c r="G172" s="134">
        <f t="shared" si="97"/>
        <v>16453.515910000002</v>
      </c>
      <c r="H172" s="134">
        <f t="shared" si="97"/>
        <v>10009.05317</v>
      </c>
      <c r="I172" s="134">
        <f t="shared" si="97"/>
        <v>19810.91809</v>
      </c>
      <c r="J172" s="107">
        <f aca="true" t="shared" si="98" ref="J172:P172">SUM(J173:J176)</f>
        <v>7710.53796</v>
      </c>
      <c r="K172" s="160">
        <f t="shared" si="98"/>
        <v>8485.551</v>
      </c>
      <c r="L172" s="160">
        <f t="shared" si="98"/>
        <v>9861.1</v>
      </c>
      <c r="M172" s="160">
        <f t="shared" si="98"/>
        <v>10183.35</v>
      </c>
      <c r="N172" s="160">
        <f t="shared" si="98"/>
        <v>0</v>
      </c>
      <c r="O172" s="160">
        <f t="shared" si="98"/>
        <v>0</v>
      </c>
      <c r="P172" s="160">
        <f t="shared" si="98"/>
        <v>0</v>
      </c>
      <c r="Q172" s="1"/>
    </row>
    <row r="173" spans="1:17" s="4" customFormat="1" ht="15">
      <c r="A173" s="12">
        <v>117</v>
      </c>
      <c r="B173" s="1" t="s">
        <v>3</v>
      </c>
      <c r="C173" s="90">
        <f>SUM(D173:P173)</f>
        <v>99794.12911000001</v>
      </c>
      <c r="D173" s="99">
        <f aca="true" t="shared" si="99" ref="D173:K176">SUM(D178,D198,D203,D208,D213,D218,D223,D228,D233,D238,D253,D268,D243,D273,D248,D278,D283)</f>
        <v>3856.8</v>
      </c>
      <c r="E173" s="99">
        <f t="shared" si="99"/>
        <v>3292.7</v>
      </c>
      <c r="F173" s="99">
        <f t="shared" si="99"/>
        <v>10130.602980000001</v>
      </c>
      <c r="G173" s="99">
        <f t="shared" si="99"/>
        <v>16453.515910000002</v>
      </c>
      <c r="H173" s="210">
        <f t="shared" si="99"/>
        <v>10009.05317</v>
      </c>
      <c r="I173" s="210">
        <f t="shared" si="99"/>
        <v>19810.91809</v>
      </c>
      <c r="J173" s="99">
        <f>SUM(J178,J198,J203,J208,J213,J218,J223,J228,J233,J238,J253,J268,J243,J273,J248,J278,J283)</f>
        <v>7710.53796</v>
      </c>
      <c r="K173" s="99">
        <f t="shared" si="99"/>
        <v>8485.551</v>
      </c>
      <c r="L173" s="99">
        <f aca="true" t="shared" si="100" ref="L173:M176">SUM(L178,L198,L203,L208,L213,L218,L223,L228,L233,L238,L253,L268,L243,L273,L248,L278,L283)</f>
        <v>9861.1</v>
      </c>
      <c r="M173" s="99">
        <f t="shared" si="100"/>
        <v>10183.35</v>
      </c>
      <c r="N173" s="99">
        <f aca="true" t="shared" si="101" ref="N173:P176">SUM(N178,N198,N203,N208,N213,N218,N223,N228,N233,N238,N253,N268,N243,N273,N248,N278,N283)</f>
        <v>0</v>
      </c>
      <c r="O173" s="99">
        <f t="shared" si="101"/>
        <v>0</v>
      </c>
      <c r="P173" s="99">
        <f t="shared" si="101"/>
        <v>0</v>
      </c>
      <c r="Q173" s="26" t="s">
        <v>67</v>
      </c>
    </row>
    <row r="174" spans="1:17" s="4" customFormat="1" ht="15">
      <c r="A174" s="12">
        <v>118</v>
      </c>
      <c r="B174" s="1" t="s">
        <v>1</v>
      </c>
      <c r="C174" s="90">
        <f>SUM(D174:P174)</f>
        <v>0</v>
      </c>
      <c r="D174" s="99">
        <f t="shared" si="99"/>
        <v>0</v>
      </c>
      <c r="E174" s="99">
        <f t="shared" si="99"/>
        <v>0</v>
      </c>
      <c r="F174" s="99">
        <f t="shared" si="99"/>
        <v>0</v>
      </c>
      <c r="G174" s="99">
        <f t="shared" si="99"/>
        <v>0</v>
      </c>
      <c r="H174" s="210">
        <f t="shared" si="99"/>
        <v>0</v>
      </c>
      <c r="I174" s="210">
        <f t="shared" si="99"/>
        <v>0</v>
      </c>
      <c r="J174" s="99">
        <f t="shared" si="99"/>
        <v>0</v>
      </c>
      <c r="K174" s="99">
        <f t="shared" si="99"/>
        <v>0</v>
      </c>
      <c r="L174" s="99">
        <f t="shared" si="100"/>
        <v>0</v>
      </c>
      <c r="M174" s="99">
        <f t="shared" si="100"/>
        <v>0</v>
      </c>
      <c r="N174" s="99">
        <f t="shared" si="101"/>
        <v>0</v>
      </c>
      <c r="O174" s="99">
        <f t="shared" si="101"/>
        <v>0</v>
      </c>
      <c r="P174" s="99">
        <f t="shared" si="101"/>
        <v>0</v>
      </c>
      <c r="Q174" s="26" t="s">
        <v>67</v>
      </c>
    </row>
    <row r="175" spans="1:17" s="4" customFormat="1" ht="15">
      <c r="A175" s="12">
        <v>119</v>
      </c>
      <c r="B175" s="1" t="s">
        <v>2</v>
      </c>
      <c r="C175" s="90">
        <f>SUM(D175:P175)</f>
        <v>19884</v>
      </c>
      <c r="D175" s="99">
        <f t="shared" si="99"/>
        <v>0</v>
      </c>
      <c r="E175" s="99">
        <f t="shared" si="99"/>
        <v>0</v>
      </c>
      <c r="F175" s="99">
        <f t="shared" si="99"/>
        <v>19884</v>
      </c>
      <c r="G175" s="99">
        <f t="shared" si="99"/>
        <v>0</v>
      </c>
      <c r="H175" s="210">
        <f t="shared" si="99"/>
        <v>0</v>
      </c>
      <c r="I175" s="210">
        <f t="shared" si="99"/>
        <v>0</v>
      </c>
      <c r="J175" s="99">
        <f t="shared" si="99"/>
        <v>0</v>
      </c>
      <c r="K175" s="99">
        <f t="shared" si="99"/>
        <v>0</v>
      </c>
      <c r="L175" s="99">
        <f t="shared" si="100"/>
        <v>0</v>
      </c>
      <c r="M175" s="99">
        <f t="shared" si="100"/>
        <v>0</v>
      </c>
      <c r="N175" s="99">
        <f t="shared" si="101"/>
        <v>0</v>
      </c>
      <c r="O175" s="99">
        <f t="shared" si="101"/>
        <v>0</v>
      </c>
      <c r="P175" s="99">
        <f t="shared" si="101"/>
        <v>0</v>
      </c>
      <c r="Q175" s="26" t="s">
        <v>67</v>
      </c>
    </row>
    <row r="176" spans="1:17" s="4" customFormat="1" ht="15">
      <c r="A176" s="12">
        <v>120</v>
      </c>
      <c r="B176" s="1" t="s">
        <v>4</v>
      </c>
      <c r="C176" s="90">
        <f>SUM(D176:P176)</f>
        <v>0</v>
      </c>
      <c r="D176" s="99">
        <f t="shared" si="99"/>
        <v>0</v>
      </c>
      <c r="E176" s="99">
        <f t="shared" si="99"/>
        <v>0</v>
      </c>
      <c r="F176" s="99">
        <f t="shared" si="99"/>
        <v>0</v>
      </c>
      <c r="G176" s="99">
        <f t="shared" si="99"/>
        <v>0</v>
      </c>
      <c r="H176" s="210">
        <f t="shared" si="99"/>
        <v>0</v>
      </c>
      <c r="I176" s="210">
        <f t="shared" si="99"/>
        <v>0</v>
      </c>
      <c r="J176" s="99">
        <f t="shared" si="99"/>
        <v>0</v>
      </c>
      <c r="K176" s="99">
        <f t="shared" si="99"/>
        <v>0</v>
      </c>
      <c r="L176" s="99">
        <f t="shared" si="100"/>
        <v>0</v>
      </c>
      <c r="M176" s="99">
        <f t="shared" si="100"/>
        <v>0</v>
      </c>
      <c r="N176" s="99">
        <f t="shared" si="101"/>
        <v>0</v>
      </c>
      <c r="O176" s="99">
        <f t="shared" si="101"/>
        <v>0</v>
      </c>
      <c r="P176" s="99">
        <f t="shared" si="101"/>
        <v>0</v>
      </c>
      <c r="Q176" s="26" t="s">
        <v>67</v>
      </c>
    </row>
    <row r="177" spans="1:17" s="4" customFormat="1" ht="62.25">
      <c r="A177" s="12">
        <v>121</v>
      </c>
      <c r="B177" s="1" t="s">
        <v>84</v>
      </c>
      <c r="C177" s="90">
        <f aca="true" t="shared" si="102" ref="C177:C240">SUM(D177:P177)</f>
        <v>25238.368000000002</v>
      </c>
      <c r="D177" s="130">
        <f aca="true" t="shared" si="103" ref="D177:K177">SUM(D178:D181)</f>
        <v>0</v>
      </c>
      <c r="E177" s="130">
        <f t="shared" si="103"/>
        <v>0</v>
      </c>
      <c r="F177" s="91">
        <f t="shared" si="103"/>
        <v>23738.277000000002</v>
      </c>
      <c r="G177" s="130">
        <f t="shared" si="103"/>
        <v>0</v>
      </c>
      <c r="H177" s="130">
        <f t="shared" si="103"/>
        <v>0</v>
      </c>
      <c r="I177" s="130">
        <f t="shared" si="103"/>
        <v>0</v>
      </c>
      <c r="J177" s="130">
        <f t="shared" si="103"/>
        <v>0</v>
      </c>
      <c r="K177" s="91">
        <f t="shared" si="103"/>
        <v>1500.091</v>
      </c>
      <c r="L177" s="130"/>
      <c r="M177" s="130"/>
      <c r="N177" s="130"/>
      <c r="O177" s="130"/>
      <c r="P177" s="130"/>
      <c r="Q177" s="26"/>
    </row>
    <row r="178" spans="1:17" s="4" customFormat="1" ht="15">
      <c r="A178" s="12">
        <v>122</v>
      </c>
      <c r="B178" s="5" t="s">
        <v>3</v>
      </c>
      <c r="C178" s="90">
        <f t="shared" si="102"/>
        <v>5354.368</v>
      </c>
      <c r="D178" s="28"/>
      <c r="E178" s="28"/>
      <c r="F178" s="93">
        <f>F183+F188+F193</f>
        <v>3854.277</v>
      </c>
      <c r="G178" s="59"/>
      <c r="H178" s="59"/>
      <c r="I178" s="59"/>
      <c r="J178" s="33"/>
      <c r="K178" s="93">
        <v>1500.091</v>
      </c>
      <c r="L178" s="33"/>
      <c r="M178" s="33"/>
      <c r="N178" s="33"/>
      <c r="O178" s="33"/>
      <c r="P178" s="33"/>
      <c r="Q178" s="26"/>
    </row>
    <row r="179" spans="1:17" s="4" customFormat="1" ht="15">
      <c r="A179" s="12">
        <v>123</v>
      </c>
      <c r="B179" s="5" t="s">
        <v>1</v>
      </c>
      <c r="C179" s="90">
        <f t="shared" si="102"/>
        <v>0</v>
      </c>
      <c r="D179" s="28"/>
      <c r="E179" s="28"/>
      <c r="F179" s="93">
        <f>F184+F189+F194</f>
        <v>0</v>
      </c>
      <c r="G179" s="59"/>
      <c r="H179" s="59"/>
      <c r="I179" s="59"/>
      <c r="J179" s="34"/>
      <c r="K179" s="34"/>
      <c r="L179" s="34"/>
      <c r="M179" s="34"/>
      <c r="N179" s="34"/>
      <c r="O179" s="34"/>
      <c r="P179" s="34"/>
      <c r="Q179" s="30" t="s">
        <v>67</v>
      </c>
    </row>
    <row r="180" spans="1:17" s="4" customFormat="1" ht="15">
      <c r="A180" s="12">
        <v>124</v>
      </c>
      <c r="B180" s="5" t="s">
        <v>2</v>
      </c>
      <c r="C180" s="90">
        <f t="shared" si="102"/>
        <v>19884</v>
      </c>
      <c r="D180" s="28"/>
      <c r="E180" s="28"/>
      <c r="F180" s="93">
        <f>F185+F190+F195</f>
        <v>19884</v>
      </c>
      <c r="G180" s="59"/>
      <c r="H180" s="59"/>
      <c r="I180" s="59"/>
      <c r="J180" s="33"/>
      <c r="K180" s="33"/>
      <c r="L180" s="33"/>
      <c r="M180" s="33"/>
      <c r="N180" s="33"/>
      <c r="O180" s="33"/>
      <c r="P180" s="33"/>
      <c r="Q180" s="26"/>
    </row>
    <row r="181" spans="1:17" s="4" customFormat="1" ht="15">
      <c r="A181" s="12">
        <v>125</v>
      </c>
      <c r="B181" s="5" t="s">
        <v>4</v>
      </c>
      <c r="C181" s="90">
        <f t="shared" si="102"/>
        <v>0</v>
      </c>
      <c r="D181" s="32"/>
      <c r="E181" s="32"/>
      <c r="F181" s="93">
        <f>F186+F191+F196</f>
        <v>0</v>
      </c>
      <c r="G181" s="60"/>
      <c r="H181" s="60"/>
      <c r="I181" s="60"/>
      <c r="J181" s="34"/>
      <c r="K181" s="34"/>
      <c r="L181" s="34"/>
      <c r="M181" s="34"/>
      <c r="N181" s="34"/>
      <c r="O181" s="34"/>
      <c r="P181" s="34"/>
      <c r="Q181" s="26"/>
    </row>
    <row r="182" spans="1:17" s="4" customFormat="1" ht="109.5">
      <c r="A182" s="12">
        <v>126</v>
      </c>
      <c r="B182" s="5" t="s">
        <v>125</v>
      </c>
      <c r="C182" s="90">
        <f t="shared" si="102"/>
        <v>16155.448</v>
      </c>
      <c r="D182" s="130">
        <f aca="true" t="shared" si="104" ref="D182:K182">SUM(D183:D186)</f>
        <v>0</v>
      </c>
      <c r="E182" s="130">
        <f t="shared" si="104"/>
        <v>0</v>
      </c>
      <c r="F182" s="91">
        <f t="shared" si="104"/>
        <v>16155.448</v>
      </c>
      <c r="G182" s="130">
        <f t="shared" si="104"/>
        <v>0</v>
      </c>
      <c r="H182" s="130">
        <f t="shared" si="104"/>
        <v>0</v>
      </c>
      <c r="I182" s="130">
        <f t="shared" si="104"/>
        <v>0</v>
      </c>
      <c r="J182" s="130">
        <f t="shared" si="104"/>
        <v>0</v>
      </c>
      <c r="K182" s="130">
        <f t="shared" si="104"/>
        <v>0</v>
      </c>
      <c r="L182" s="130"/>
      <c r="M182" s="130"/>
      <c r="N182" s="130"/>
      <c r="O182" s="130"/>
      <c r="P182" s="130"/>
      <c r="Q182" s="26"/>
    </row>
    <row r="183" spans="1:17" s="4" customFormat="1" ht="15">
      <c r="A183" s="12">
        <v>127</v>
      </c>
      <c r="B183" s="5" t="s">
        <v>3</v>
      </c>
      <c r="C183" s="90">
        <f t="shared" si="102"/>
        <v>2173.448</v>
      </c>
      <c r="D183" s="59"/>
      <c r="E183" s="59"/>
      <c r="F183" s="93">
        <f>2173.448</f>
        <v>2173.448</v>
      </c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26"/>
    </row>
    <row r="184" spans="1:17" s="4" customFormat="1" ht="15">
      <c r="A184" s="12">
        <v>128</v>
      </c>
      <c r="B184" s="5" t="s">
        <v>1</v>
      </c>
      <c r="C184" s="90">
        <f t="shared" si="102"/>
        <v>0</v>
      </c>
      <c r="D184" s="59"/>
      <c r="E184" s="59"/>
      <c r="F184" s="133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26"/>
    </row>
    <row r="185" spans="1:17" s="4" customFormat="1" ht="15">
      <c r="A185" s="12">
        <v>129</v>
      </c>
      <c r="B185" s="5" t="s">
        <v>2</v>
      </c>
      <c r="C185" s="90">
        <f t="shared" si="102"/>
        <v>13982</v>
      </c>
      <c r="D185" s="59"/>
      <c r="E185" s="59"/>
      <c r="F185" s="93">
        <v>13982</v>
      </c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26"/>
    </row>
    <row r="186" spans="1:17" s="4" customFormat="1" ht="15">
      <c r="A186" s="12">
        <v>130</v>
      </c>
      <c r="B186" s="5" t="s">
        <v>4</v>
      </c>
      <c r="C186" s="90">
        <f t="shared" si="102"/>
        <v>0</v>
      </c>
      <c r="D186" s="59"/>
      <c r="E186" s="59"/>
      <c r="F186" s="133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26"/>
    </row>
    <row r="187" spans="1:17" s="4" customFormat="1" ht="30.75">
      <c r="A187" s="12">
        <v>131</v>
      </c>
      <c r="B187" s="5" t="s">
        <v>126</v>
      </c>
      <c r="C187" s="90">
        <f t="shared" si="102"/>
        <v>1680.829</v>
      </c>
      <c r="D187" s="130">
        <f aca="true" t="shared" si="105" ref="D187:K187">SUM(D188:D191)</f>
        <v>0</v>
      </c>
      <c r="E187" s="130">
        <f t="shared" si="105"/>
        <v>0</v>
      </c>
      <c r="F187" s="91">
        <f t="shared" si="105"/>
        <v>1680.829</v>
      </c>
      <c r="G187" s="130">
        <f t="shared" si="105"/>
        <v>0</v>
      </c>
      <c r="H187" s="130">
        <f t="shared" si="105"/>
        <v>0</v>
      </c>
      <c r="I187" s="130">
        <f t="shared" si="105"/>
        <v>0</v>
      </c>
      <c r="J187" s="130">
        <f t="shared" si="105"/>
        <v>0</v>
      </c>
      <c r="K187" s="130">
        <f t="shared" si="105"/>
        <v>0</v>
      </c>
      <c r="L187" s="130"/>
      <c r="M187" s="130"/>
      <c r="N187" s="130"/>
      <c r="O187" s="130"/>
      <c r="P187" s="130"/>
      <c r="Q187" s="26"/>
    </row>
    <row r="188" spans="1:17" s="4" customFormat="1" ht="15">
      <c r="A188" s="12">
        <v>132</v>
      </c>
      <c r="B188" s="5" t="s">
        <v>3</v>
      </c>
      <c r="C188" s="90">
        <f t="shared" si="102"/>
        <v>1680.829</v>
      </c>
      <c r="D188" s="32"/>
      <c r="E188" s="32"/>
      <c r="F188" s="93">
        <v>1680.829</v>
      </c>
      <c r="G188" s="60"/>
      <c r="H188" s="60"/>
      <c r="I188" s="60"/>
      <c r="J188" s="34"/>
      <c r="K188" s="34"/>
      <c r="L188" s="34"/>
      <c r="M188" s="34"/>
      <c r="N188" s="34"/>
      <c r="O188" s="34"/>
      <c r="P188" s="34"/>
      <c r="Q188" s="26"/>
    </row>
    <row r="189" spans="1:17" s="4" customFormat="1" ht="15">
      <c r="A189" s="12">
        <v>133</v>
      </c>
      <c r="B189" s="5" t="s">
        <v>1</v>
      </c>
      <c r="C189" s="90">
        <f t="shared" si="102"/>
        <v>0</v>
      </c>
      <c r="D189" s="32"/>
      <c r="E189" s="32"/>
      <c r="F189" s="133"/>
      <c r="G189" s="60"/>
      <c r="H189" s="60"/>
      <c r="I189" s="60"/>
      <c r="J189" s="34"/>
      <c r="K189" s="34"/>
      <c r="L189" s="34"/>
      <c r="M189" s="34"/>
      <c r="N189" s="34"/>
      <c r="O189" s="34"/>
      <c r="P189" s="34"/>
      <c r="Q189" s="26"/>
    </row>
    <row r="190" spans="1:17" s="4" customFormat="1" ht="15">
      <c r="A190" s="12">
        <v>134</v>
      </c>
      <c r="B190" s="5" t="s">
        <v>2</v>
      </c>
      <c r="C190" s="90">
        <f t="shared" si="102"/>
        <v>0</v>
      </c>
      <c r="D190" s="32"/>
      <c r="E190" s="32"/>
      <c r="F190" s="133"/>
      <c r="G190" s="60"/>
      <c r="H190" s="60"/>
      <c r="I190" s="60"/>
      <c r="J190" s="34"/>
      <c r="K190" s="34"/>
      <c r="L190" s="34"/>
      <c r="M190" s="34"/>
      <c r="N190" s="34"/>
      <c r="O190" s="34"/>
      <c r="P190" s="34"/>
      <c r="Q190" s="26"/>
    </row>
    <row r="191" spans="1:17" s="4" customFormat="1" ht="15">
      <c r="A191" s="12">
        <v>135</v>
      </c>
      <c r="B191" s="5" t="s">
        <v>4</v>
      </c>
      <c r="C191" s="90">
        <f t="shared" si="102"/>
        <v>0</v>
      </c>
      <c r="D191" s="32"/>
      <c r="E191" s="32"/>
      <c r="F191" s="133"/>
      <c r="G191" s="60"/>
      <c r="H191" s="60"/>
      <c r="I191" s="60"/>
      <c r="J191" s="34"/>
      <c r="K191" s="34"/>
      <c r="L191" s="34"/>
      <c r="M191" s="34"/>
      <c r="N191" s="34"/>
      <c r="O191" s="34"/>
      <c r="P191" s="34"/>
      <c r="Q191" s="26"/>
    </row>
    <row r="192" spans="1:17" s="4" customFormat="1" ht="30.75">
      <c r="A192" s="12">
        <v>136</v>
      </c>
      <c r="B192" s="5" t="s">
        <v>129</v>
      </c>
      <c r="C192" s="90">
        <f t="shared" si="102"/>
        <v>5902</v>
      </c>
      <c r="D192" s="130">
        <f aca="true" t="shared" si="106" ref="D192:K192">SUM(D193:D196)</f>
        <v>0</v>
      </c>
      <c r="E192" s="130">
        <f t="shared" si="106"/>
        <v>0</v>
      </c>
      <c r="F192" s="91">
        <f t="shared" si="106"/>
        <v>5902</v>
      </c>
      <c r="G192" s="130">
        <f t="shared" si="106"/>
        <v>0</v>
      </c>
      <c r="H192" s="130">
        <f t="shared" si="106"/>
        <v>0</v>
      </c>
      <c r="I192" s="130">
        <f t="shared" si="106"/>
        <v>0</v>
      </c>
      <c r="J192" s="130">
        <f t="shared" si="106"/>
        <v>0</v>
      </c>
      <c r="K192" s="130">
        <f t="shared" si="106"/>
        <v>0</v>
      </c>
      <c r="L192" s="130"/>
      <c r="M192" s="130"/>
      <c r="N192" s="130"/>
      <c r="O192" s="130"/>
      <c r="P192" s="130"/>
      <c r="Q192" s="26"/>
    </row>
    <row r="193" spans="1:17" s="4" customFormat="1" ht="15">
      <c r="A193" s="12">
        <v>137</v>
      </c>
      <c r="B193" s="5" t="s">
        <v>3</v>
      </c>
      <c r="C193" s="90">
        <f t="shared" si="102"/>
        <v>0</v>
      </c>
      <c r="D193" s="32"/>
      <c r="E193" s="32"/>
      <c r="F193" s="133"/>
      <c r="G193" s="60"/>
      <c r="H193" s="60"/>
      <c r="I193" s="60"/>
      <c r="J193" s="34"/>
      <c r="K193" s="34"/>
      <c r="L193" s="34"/>
      <c r="M193" s="34"/>
      <c r="N193" s="34"/>
      <c r="O193" s="34"/>
      <c r="P193" s="34"/>
      <c r="Q193" s="26"/>
    </row>
    <row r="194" spans="1:17" s="4" customFormat="1" ht="15">
      <c r="A194" s="12">
        <v>138</v>
      </c>
      <c r="B194" s="5" t="s">
        <v>1</v>
      </c>
      <c r="C194" s="90">
        <f t="shared" si="102"/>
        <v>0</v>
      </c>
      <c r="D194" s="32"/>
      <c r="E194" s="32"/>
      <c r="F194" s="133"/>
      <c r="G194" s="60"/>
      <c r="H194" s="60"/>
      <c r="I194" s="60"/>
      <c r="J194" s="34"/>
      <c r="K194" s="34"/>
      <c r="L194" s="34"/>
      <c r="M194" s="34"/>
      <c r="N194" s="34"/>
      <c r="O194" s="34"/>
      <c r="P194" s="34"/>
      <c r="Q194" s="26"/>
    </row>
    <row r="195" spans="1:17" s="4" customFormat="1" ht="15">
      <c r="A195" s="12">
        <v>139</v>
      </c>
      <c r="B195" s="5" t="s">
        <v>2</v>
      </c>
      <c r="C195" s="90">
        <f t="shared" si="102"/>
        <v>5902</v>
      </c>
      <c r="D195" s="32"/>
      <c r="E195" s="32"/>
      <c r="F195" s="93">
        <v>5902</v>
      </c>
      <c r="G195" s="60"/>
      <c r="H195" s="60"/>
      <c r="I195" s="60"/>
      <c r="J195" s="34"/>
      <c r="K195" s="34"/>
      <c r="L195" s="34"/>
      <c r="M195" s="34"/>
      <c r="N195" s="34"/>
      <c r="O195" s="34"/>
      <c r="P195" s="34"/>
      <c r="Q195" s="26"/>
    </row>
    <row r="196" spans="1:17" s="4" customFormat="1" ht="15">
      <c r="A196" s="12">
        <v>140</v>
      </c>
      <c r="B196" s="5" t="s">
        <v>4</v>
      </c>
      <c r="C196" s="90">
        <f t="shared" si="102"/>
        <v>0</v>
      </c>
      <c r="D196" s="32"/>
      <c r="E196" s="32"/>
      <c r="F196" s="133"/>
      <c r="G196" s="60"/>
      <c r="H196" s="60"/>
      <c r="I196" s="60"/>
      <c r="J196" s="34"/>
      <c r="K196" s="34"/>
      <c r="L196" s="34"/>
      <c r="M196" s="34"/>
      <c r="N196" s="34"/>
      <c r="O196" s="34"/>
      <c r="P196" s="34"/>
      <c r="Q196" s="26"/>
    </row>
    <row r="197" spans="1:17" s="4" customFormat="1" ht="46.5">
      <c r="A197" s="12">
        <v>141</v>
      </c>
      <c r="B197" s="5" t="s">
        <v>85</v>
      </c>
      <c r="C197" s="90">
        <f t="shared" si="102"/>
        <v>3045.84158</v>
      </c>
      <c r="D197" s="90">
        <f aca="true" t="shared" si="107" ref="D197:K197">SUM(D198:D201)</f>
        <v>433</v>
      </c>
      <c r="E197" s="154">
        <f t="shared" si="107"/>
        <v>0</v>
      </c>
      <c r="F197" s="91">
        <f t="shared" si="107"/>
        <v>959.49158</v>
      </c>
      <c r="G197" s="91">
        <f t="shared" si="107"/>
        <v>1503.35</v>
      </c>
      <c r="H197" s="130">
        <f t="shared" si="107"/>
        <v>150</v>
      </c>
      <c r="I197" s="130">
        <f t="shared" si="107"/>
        <v>0</v>
      </c>
      <c r="J197" s="91">
        <f t="shared" si="107"/>
        <v>0</v>
      </c>
      <c r="K197" s="154">
        <f t="shared" si="107"/>
        <v>0</v>
      </c>
      <c r="L197" s="154"/>
      <c r="M197" s="154"/>
      <c r="N197" s="154"/>
      <c r="O197" s="154"/>
      <c r="P197" s="154"/>
      <c r="Q197" s="26"/>
    </row>
    <row r="198" spans="1:17" s="4" customFormat="1" ht="15">
      <c r="A198" s="12">
        <v>142</v>
      </c>
      <c r="B198" s="5" t="s">
        <v>3</v>
      </c>
      <c r="C198" s="90">
        <f t="shared" si="102"/>
        <v>3045.84158</v>
      </c>
      <c r="D198" s="99">
        <v>433</v>
      </c>
      <c r="E198" s="28"/>
      <c r="F198" s="93">
        <f>865+94.49158</f>
        <v>959.49158</v>
      </c>
      <c r="G198" s="93">
        <f>1003.35+500</f>
        <v>1503.35</v>
      </c>
      <c r="H198" s="59">
        <v>150</v>
      </c>
      <c r="I198" s="93"/>
      <c r="J198" s="93"/>
      <c r="K198" s="59"/>
      <c r="L198" s="59"/>
      <c r="M198" s="59"/>
      <c r="N198" s="59"/>
      <c r="O198" s="59"/>
      <c r="P198" s="59"/>
      <c r="Q198" s="26" t="s">
        <v>67</v>
      </c>
    </row>
    <row r="199" spans="1:17" s="4" customFormat="1" ht="15">
      <c r="A199" s="12">
        <v>143</v>
      </c>
      <c r="B199" s="5" t="s">
        <v>1</v>
      </c>
      <c r="C199" s="90">
        <f t="shared" si="102"/>
        <v>0</v>
      </c>
      <c r="D199" s="95"/>
      <c r="E199" s="28"/>
      <c r="F199" s="133"/>
      <c r="G199" s="133"/>
      <c r="H199" s="59"/>
      <c r="I199" s="133"/>
      <c r="J199" s="135"/>
      <c r="K199" s="60"/>
      <c r="L199" s="60"/>
      <c r="M199" s="60"/>
      <c r="N199" s="60"/>
      <c r="O199" s="60"/>
      <c r="P199" s="60"/>
      <c r="Q199" s="30" t="s">
        <v>67</v>
      </c>
    </row>
    <row r="200" spans="1:17" s="4" customFormat="1" ht="15">
      <c r="A200" s="12">
        <v>144</v>
      </c>
      <c r="B200" s="5" t="s">
        <v>2</v>
      </c>
      <c r="C200" s="90">
        <f t="shared" si="102"/>
        <v>0</v>
      </c>
      <c r="D200" s="95"/>
      <c r="E200" s="28"/>
      <c r="F200" s="133"/>
      <c r="G200" s="133"/>
      <c r="H200" s="59"/>
      <c r="I200" s="133"/>
      <c r="J200" s="133"/>
      <c r="K200" s="59"/>
      <c r="L200" s="59"/>
      <c r="M200" s="59"/>
      <c r="N200" s="59"/>
      <c r="O200" s="59"/>
      <c r="P200" s="59"/>
      <c r="Q200" s="26"/>
    </row>
    <row r="201" spans="1:17" s="4" customFormat="1" ht="15">
      <c r="A201" s="12">
        <v>145</v>
      </c>
      <c r="B201" s="5" t="s">
        <v>4</v>
      </c>
      <c r="C201" s="90">
        <f t="shared" si="102"/>
        <v>0</v>
      </c>
      <c r="D201" s="96"/>
      <c r="E201" s="32"/>
      <c r="F201" s="135"/>
      <c r="G201" s="135"/>
      <c r="H201" s="60"/>
      <c r="I201" s="135"/>
      <c r="J201" s="135"/>
      <c r="K201" s="60"/>
      <c r="L201" s="60"/>
      <c r="M201" s="60"/>
      <c r="N201" s="60"/>
      <c r="O201" s="60"/>
      <c r="P201" s="60"/>
      <c r="Q201" s="26"/>
    </row>
    <row r="202" spans="1:17" s="4" customFormat="1" ht="62.25">
      <c r="A202" s="12">
        <v>146</v>
      </c>
      <c r="B202" s="5" t="s">
        <v>86</v>
      </c>
      <c r="C202" s="90">
        <f t="shared" si="102"/>
        <v>31988.693000000003</v>
      </c>
      <c r="D202" s="90">
        <f aca="true" t="shared" si="108" ref="D202:M202">SUM(D203:D206)</f>
        <v>706</v>
      </c>
      <c r="E202" s="90">
        <f t="shared" si="108"/>
        <v>722.1</v>
      </c>
      <c r="F202" s="91">
        <f t="shared" si="108"/>
        <v>702.6</v>
      </c>
      <c r="G202" s="91">
        <f t="shared" si="108"/>
        <v>3606.35003</v>
      </c>
      <c r="H202" s="91">
        <f t="shared" si="108"/>
        <v>1249.7489</v>
      </c>
      <c r="I202" s="91">
        <f t="shared" si="108"/>
        <v>14961.756309999999</v>
      </c>
      <c r="J202" s="90">
        <f t="shared" si="108"/>
        <v>3432.0757599999997</v>
      </c>
      <c r="K202" s="90">
        <f t="shared" si="108"/>
        <v>1402.69</v>
      </c>
      <c r="L202" s="90">
        <f t="shared" si="108"/>
        <v>2602.686</v>
      </c>
      <c r="M202" s="90">
        <f t="shared" si="108"/>
        <v>2602.686</v>
      </c>
      <c r="N202" s="90">
        <f>SUM(N203:N206)</f>
        <v>0</v>
      </c>
      <c r="O202" s="90">
        <f>SUM(O203:O206)</f>
        <v>0</v>
      </c>
      <c r="P202" s="90">
        <f>SUM(P203:P206)</f>
        <v>0</v>
      </c>
      <c r="Q202" s="26">
        <v>18</v>
      </c>
    </row>
    <row r="203" spans="1:18" s="4" customFormat="1" ht="15">
      <c r="A203" s="12">
        <v>147</v>
      </c>
      <c r="B203" s="5" t="s">
        <v>3</v>
      </c>
      <c r="C203" s="90">
        <f t="shared" si="102"/>
        <v>31988.693000000003</v>
      </c>
      <c r="D203" s="99">
        <v>706</v>
      </c>
      <c r="E203" s="99">
        <v>722.1</v>
      </c>
      <c r="F203" s="93">
        <v>702.6</v>
      </c>
      <c r="G203" s="93">
        <f>599.25556+2898.74447+108.35</f>
        <v>3606.35003</v>
      </c>
      <c r="H203" s="93">
        <f>130+24.7+566.7+516.361+11.9879</f>
        <v>1249.7489</v>
      </c>
      <c r="I203" s="93">
        <f>1125.58366+3760.84034+256.151+119.938+9714.00031-14.757</f>
        <v>14961.756309999999</v>
      </c>
      <c r="J203" s="92">
        <f>661.59+459.4072-71.904+2382.98256</f>
        <v>3432.0757599999997</v>
      </c>
      <c r="K203" s="92">
        <v>1402.69</v>
      </c>
      <c r="L203" s="92">
        <v>2602.686</v>
      </c>
      <c r="M203" s="92">
        <v>2602.686</v>
      </c>
      <c r="N203" s="92"/>
      <c r="O203" s="92"/>
      <c r="P203" s="92"/>
      <c r="Q203" s="26" t="s">
        <v>67</v>
      </c>
      <c r="R203" s="2"/>
    </row>
    <row r="204" spans="1:17" s="4" customFormat="1" ht="15">
      <c r="A204" s="12">
        <v>148</v>
      </c>
      <c r="B204" s="5" t="s">
        <v>1</v>
      </c>
      <c r="C204" s="90">
        <f t="shared" si="102"/>
        <v>0</v>
      </c>
      <c r="D204" s="95"/>
      <c r="E204" s="95"/>
      <c r="F204" s="133"/>
      <c r="G204" s="133"/>
      <c r="H204" s="133"/>
      <c r="I204" s="133"/>
      <c r="J204" s="156"/>
      <c r="K204" s="156"/>
      <c r="L204" s="156"/>
      <c r="M204" s="156"/>
      <c r="N204" s="156"/>
      <c r="O204" s="156"/>
      <c r="P204" s="156"/>
      <c r="Q204" s="26" t="s">
        <v>67</v>
      </c>
    </row>
    <row r="205" spans="1:17" s="4" customFormat="1" ht="15">
      <c r="A205" s="12">
        <v>149</v>
      </c>
      <c r="B205" s="5" t="s">
        <v>2</v>
      </c>
      <c r="C205" s="90">
        <f t="shared" si="102"/>
        <v>0</v>
      </c>
      <c r="D205" s="95"/>
      <c r="E205" s="95"/>
      <c r="F205" s="133"/>
      <c r="G205" s="133"/>
      <c r="H205" s="133"/>
      <c r="I205" s="133"/>
      <c r="J205" s="156"/>
      <c r="K205" s="156"/>
      <c r="L205" s="156"/>
      <c r="M205" s="156"/>
      <c r="N205" s="156"/>
      <c r="O205" s="156"/>
      <c r="P205" s="156"/>
      <c r="Q205" s="26" t="s">
        <v>67</v>
      </c>
    </row>
    <row r="206" spans="1:17" s="4" customFormat="1" ht="15">
      <c r="A206" s="12">
        <v>150</v>
      </c>
      <c r="B206" s="5" t="s">
        <v>4</v>
      </c>
      <c r="C206" s="90">
        <f t="shared" si="102"/>
        <v>0</v>
      </c>
      <c r="D206" s="95"/>
      <c r="E206" s="95"/>
      <c r="F206" s="133"/>
      <c r="G206" s="133"/>
      <c r="H206" s="133"/>
      <c r="I206" s="133"/>
      <c r="J206" s="156"/>
      <c r="K206" s="156"/>
      <c r="L206" s="156"/>
      <c r="M206" s="156"/>
      <c r="N206" s="156"/>
      <c r="O206" s="156"/>
      <c r="P206" s="156"/>
      <c r="Q206" s="26" t="s">
        <v>67</v>
      </c>
    </row>
    <row r="207" spans="1:17" s="4" customFormat="1" ht="46.5">
      <c r="A207" s="12">
        <v>151</v>
      </c>
      <c r="B207" s="5" t="s">
        <v>87</v>
      </c>
      <c r="C207" s="90">
        <f t="shared" si="102"/>
        <v>4231.1669999999995</v>
      </c>
      <c r="D207" s="90">
        <f aca="true" t="shared" si="109" ref="D207:M207">SUM(D208:D211)</f>
        <v>400</v>
      </c>
      <c r="E207" s="90">
        <f t="shared" si="109"/>
        <v>305.2</v>
      </c>
      <c r="F207" s="91">
        <f t="shared" si="109"/>
        <v>358.8</v>
      </c>
      <c r="G207" s="91">
        <f t="shared" si="109"/>
        <v>144</v>
      </c>
      <c r="H207" s="91">
        <f t="shared" si="109"/>
        <v>280.301</v>
      </c>
      <c r="I207" s="91">
        <f t="shared" si="109"/>
        <v>283.176</v>
      </c>
      <c r="J207" s="90">
        <f t="shared" si="109"/>
        <v>286.93</v>
      </c>
      <c r="K207" s="90">
        <f t="shared" si="109"/>
        <v>283.18</v>
      </c>
      <c r="L207" s="90">
        <f t="shared" si="109"/>
        <v>944.79</v>
      </c>
      <c r="M207" s="90">
        <f t="shared" si="109"/>
        <v>944.79</v>
      </c>
      <c r="N207" s="90">
        <f>SUM(N208:N211)</f>
        <v>0</v>
      </c>
      <c r="O207" s="90">
        <f>SUM(O208:O211)</f>
        <v>0</v>
      </c>
      <c r="P207" s="90">
        <f>SUM(P208:P211)</f>
        <v>0</v>
      </c>
      <c r="Q207" s="26">
        <v>19</v>
      </c>
    </row>
    <row r="208" spans="1:17" s="4" customFormat="1" ht="15">
      <c r="A208" s="12">
        <v>152</v>
      </c>
      <c r="B208" s="5" t="s">
        <v>3</v>
      </c>
      <c r="C208" s="90">
        <f t="shared" si="102"/>
        <v>4231.1669999999995</v>
      </c>
      <c r="D208" s="99">
        <v>400</v>
      </c>
      <c r="E208" s="99">
        <v>305.2</v>
      </c>
      <c r="F208" s="93">
        <v>358.8</v>
      </c>
      <c r="G208" s="93">
        <v>144</v>
      </c>
      <c r="H208" s="93">
        <f>280.301</f>
        <v>280.301</v>
      </c>
      <c r="I208" s="93">
        <f>283.176</f>
        <v>283.176</v>
      </c>
      <c r="J208" s="92">
        <v>286.93</v>
      </c>
      <c r="K208" s="92">
        <v>283.18</v>
      </c>
      <c r="L208" s="92">
        <v>944.79</v>
      </c>
      <c r="M208" s="92">
        <v>944.79</v>
      </c>
      <c r="N208" s="92"/>
      <c r="O208" s="92"/>
      <c r="P208" s="92"/>
      <c r="Q208" s="26" t="s">
        <v>67</v>
      </c>
    </row>
    <row r="209" spans="1:17" s="4" customFormat="1" ht="15">
      <c r="A209" s="12">
        <v>153</v>
      </c>
      <c r="B209" s="5" t="s">
        <v>1</v>
      </c>
      <c r="C209" s="90">
        <f t="shared" si="102"/>
        <v>0</v>
      </c>
      <c r="D209" s="95"/>
      <c r="E209" s="95"/>
      <c r="F209" s="133"/>
      <c r="G209" s="133"/>
      <c r="H209" s="133"/>
      <c r="I209" s="133"/>
      <c r="J209" s="156"/>
      <c r="K209" s="156"/>
      <c r="L209" s="156"/>
      <c r="M209" s="156"/>
      <c r="N209" s="156"/>
      <c r="O209" s="156"/>
      <c r="P209" s="156"/>
      <c r="Q209" s="26" t="s">
        <v>67</v>
      </c>
    </row>
    <row r="210" spans="1:17" s="4" customFormat="1" ht="15">
      <c r="A210" s="12">
        <v>154</v>
      </c>
      <c r="B210" s="5" t="s">
        <v>2</v>
      </c>
      <c r="C210" s="90">
        <f t="shared" si="102"/>
        <v>0</v>
      </c>
      <c r="D210" s="95"/>
      <c r="E210" s="95"/>
      <c r="F210" s="133"/>
      <c r="G210" s="133"/>
      <c r="H210" s="133"/>
      <c r="I210" s="133"/>
      <c r="J210" s="156"/>
      <c r="K210" s="156"/>
      <c r="L210" s="156"/>
      <c r="M210" s="156"/>
      <c r="N210" s="156"/>
      <c r="O210" s="156"/>
      <c r="P210" s="156"/>
      <c r="Q210" s="26" t="s">
        <v>67</v>
      </c>
    </row>
    <row r="211" spans="1:17" s="4" customFormat="1" ht="15">
      <c r="A211" s="12">
        <v>155</v>
      </c>
      <c r="B211" s="37" t="s">
        <v>4</v>
      </c>
      <c r="C211" s="90">
        <f t="shared" si="102"/>
        <v>0</v>
      </c>
      <c r="D211" s="96"/>
      <c r="E211" s="96"/>
      <c r="F211" s="135"/>
      <c r="G211" s="135"/>
      <c r="H211" s="135"/>
      <c r="I211" s="135"/>
      <c r="J211" s="157"/>
      <c r="K211" s="157"/>
      <c r="L211" s="157"/>
      <c r="M211" s="157"/>
      <c r="N211" s="157"/>
      <c r="O211" s="157"/>
      <c r="P211" s="157"/>
      <c r="Q211" s="30" t="s">
        <v>67</v>
      </c>
    </row>
    <row r="212" spans="1:17" s="4" customFormat="1" ht="30.75">
      <c r="A212" s="12">
        <v>156</v>
      </c>
      <c r="B212" s="5" t="s">
        <v>88</v>
      </c>
      <c r="C212" s="90">
        <f t="shared" si="102"/>
        <v>3553.37539</v>
      </c>
      <c r="D212" s="90">
        <f aca="true" t="shared" si="110" ref="D212:M212">SUM(D213:D216)</f>
        <v>141.1</v>
      </c>
      <c r="E212" s="90">
        <f t="shared" si="110"/>
        <v>120</v>
      </c>
      <c r="F212" s="91">
        <f t="shared" si="110"/>
        <v>156.6</v>
      </c>
      <c r="G212" s="91">
        <f t="shared" si="110"/>
        <v>156.634</v>
      </c>
      <c r="H212" s="91">
        <f t="shared" si="110"/>
        <v>164.97661</v>
      </c>
      <c r="I212" s="91">
        <f t="shared" si="110"/>
        <v>414.06478</v>
      </c>
      <c r="J212" s="90">
        <f t="shared" si="110"/>
        <v>500</v>
      </c>
      <c r="K212" s="90">
        <f t="shared" si="110"/>
        <v>500</v>
      </c>
      <c r="L212" s="90">
        <f t="shared" si="110"/>
        <v>700</v>
      </c>
      <c r="M212" s="90">
        <f t="shared" si="110"/>
        <v>700</v>
      </c>
      <c r="N212" s="90">
        <f>SUM(N213:N216)</f>
        <v>0</v>
      </c>
      <c r="O212" s="90">
        <f>SUM(O213:O216)</f>
        <v>0</v>
      </c>
      <c r="P212" s="90">
        <f>SUM(P213:P216)</f>
        <v>0</v>
      </c>
      <c r="Q212" s="26"/>
    </row>
    <row r="213" spans="1:17" s="4" customFormat="1" ht="15">
      <c r="A213" s="12">
        <v>157</v>
      </c>
      <c r="B213" s="5" t="s">
        <v>3</v>
      </c>
      <c r="C213" s="90">
        <f t="shared" si="102"/>
        <v>3553.37539</v>
      </c>
      <c r="D213" s="99">
        <v>141.1</v>
      </c>
      <c r="E213" s="99">
        <v>120</v>
      </c>
      <c r="F213" s="93">
        <v>156.6</v>
      </c>
      <c r="G213" s="93">
        <v>156.634</v>
      </c>
      <c r="H213" s="93">
        <f>194.08007-29.10346</f>
        <v>164.97661</v>
      </c>
      <c r="I213" s="93">
        <f>500-85.93522</f>
        <v>414.06478</v>
      </c>
      <c r="J213" s="92">
        <v>500</v>
      </c>
      <c r="K213" s="92">
        <v>500</v>
      </c>
      <c r="L213" s="92">
        <v>700</v>
      </c>
      <c r="M213" s="92">
        <v>700</v>
      </c>
      <c r="N213" s="92"/>
      <c r="O213" s="92"/>
      <c r="P213" s="92"/>
      <c r="Q213" s="26" t="s">
        <v>67</v>
      </c>
    </row>
    <row r="214" spans="1:17" s="4" customFormat="1" ht="15">
      <c r="A214" s="12">
        <v>158</v>
      </c>
      <c r="B214" s="5" t="s">
        <v>1</v>
      </c>
      <c r="C214" s="90">
        <f t="shared" si="102"/>
        <v>0</v>
      </c>
      <c r="D214" s="95"/>
      <c r="E214" s="95"/>
      <c r="F214" s="133"/>
      <c r="G214" s="133"/>
      <c r="H214" s="133"/>
      <c r="I214" s="133"/>
      <c r="J214" s="156"/>
      <c r="K214" s="156"/>
      <c r="L214" s="156"/>
      <c r="M214" s="156"/>
      <c r="N214" s="156"/>
      <c r="O214" s="156"/>
      <c r="P214" s="156"/>
      <c r="Q214" s="26" t="s">
        <v>67</v>
      </c>
    </row>
    <row r="215" spans="1:17" s="4" customFormat="1" ht="15">
      <c r="A215" s="12">
        <v>159</v>
      </c>
      <c r="B215" s="5" t="s">
        <v>2</v>
      </c>
      <c r="C215" s="90">
        <f t="shared" si="102"/>
        <v>0</v>
      </c>
      <c r="D215" s="95"/>
      <c r="E215" s="95"/>
      <c r="F215" s="133"/>
      <c r="G215" s="133"/>
      <c r="H215" s="133"/>
      <c r="I215" s="133"/>
      <c r="J215" s="156"/>
      <c r="K215" s="156"/>
      <c r="L215" s="156"/>
      <c r="M215" s="156"/>
      <c r="N215" s="156"/>
      <c r="O215" s="156"/>
      <c r="P215" s="156"/>
      <c r="Q215" s="26" t="s">
        <v>67</v>
      </c>
    </row>
    <row r="216" spans="1:17" s="4" customFormat="1" ht="15">
      <c r="A216" s="12">
        <v>160</v>
      </c>
      <c r="B216" s="37" t="s">
        <v>4</v>
      </c>
      <c r="C216" s="90">
        <f t="shared" si="102"/>
        <v>0</v>
      </c>
      <c r="D216" s="96"/>
      <c r="E216" s="96"/>
      <c r="F216" s="135"/>
      <c r="G216" s="135"/>
      <c r="H216" s="135"/>
      <c r="I216" s="135"/>
      <c r="J216" s="157"/>
      <c r="K216" s="157"/>
      <c r="L216" s="157"/>
      <c r="M216" s="157"/>
      <c r="N216" s="157"/>
      <c r="O216" s="157"/>
      <c r="P216" s="157"/>
      <c r="Q216" s="30" t="s">
        <v>67</v>
      </c>
    </row>
    <row r="217" spans="1:17" s="4" customFormat="1" ht="30.75">
      <c r="A217" s="12">
        <v>161</v>
      </c>
      <c r="B217" s="5" t="s">
        <v>89</v>
      </c>
      <c r="C217" s="90">
        <f t="shared" si="102"/>
        <v>2652.9790000000003</v>
      </c>
      <c r="D217" s="90">
        <f aca="true" t="shared" si="111" ref="D217:M217">SUM(D218:D221)</f>
        <v>144</v>
      </c>
      <c r="E217" s="90">
        <f t="shared" si="111"/>
        <v>176</v>
      </c>
      <c r="F217" s="91">
        <f t="shared" si="111"/>
        <v>145.4</v>
      </c>
      <c r="G217" s="91">
        <f t="shared" si="111"/>
        <v>170.394</v>
      </c>
      <c r="H217" s="91">
        <f t="shared" si="111"/>
        <v>325.855</v>
      </c>
      <c r="I217" s="91">
        <f t="shared" si="111"/>
        <v>452.88</v>
      </c>
      <c r="J217" s="90">
        <f t="shared" si="111"/>
        <v>307.88</v>
      </c>
      <c r="K217" s="90">
        <f t="shared" si="111"/>
        <v>310.19</v>
      </c>
      <c r="L217" s="90">
        <f t="shared" si="111"/>
        <v>310.19</v>
      </c>
      <c r="M217" s="90">
        <f t="shared" si="111"/>
        <v>310.19</v>
      </c>
      <c r="N217" s="90">
        <f>SUM(N218:N221)</f>
        <v>0</v>
      </c>
      <c r="O217" s="90">
        <f>SUM(O218:O221)</f>
        <v>0</v>
      </c>
      <c r="P217" s="90">
        <f>SUM(P218:P221)</f>
        <v>0</v>
      </c>
      <c r="Q217" s="26"/>
    </row>
    <row r="218" spans="1:17" s="4" customFormat="1" ht="15">
      <c r="A218" s="12">
        <v>162</v>
      </c>
      <c r="B218" s="5" t="s">
        <v>3</v>
      </c>
      <c r="C218" s="90">
        <f t="shared" si="102"/>
        <v>2652.9790000000003</v>
      </c>
      <c r="D218" s="99">
        <v>144</v>
      </c>
      <c r="E218" s="99">
        <v>176</v>
      </c>
      <c r="F218" s="93">
        <v>145.4</v>
      </c>
      <c r="G218" s="93">
        <v>170.394</v>
      </c>
      <c r="H218" s="93">
        <f>325.855</f>
        <v>325.855</v>
      </c>
      <c r="I218" s="93">
        <f>310.188+142.692</f>
        <v>452.88</v>
      </c>
      <c r="J218" s="92">
        <v>307.88</v>
      </c>
      <c r="K218" s="92">
        <v>310.19</v>
      </c>
      <c r="L218" s="92">
        <v>310.19</v>
      </c>
      <c r="M218" s="92">
        <v>310.19</v>
      </c>
      <c r="N218" s="92"/>
      <c r="O218" s="92"/>
      <c r="P218" s="92"/>
      <c r="Q218" s="26" t="s">
        <v>67</v>
      </c>
    </row>
    <row r="219" spans="1:17" s="4" customFormat="1" ht="15">
      <c r="A219" s="12">
        <v>163</v>
      </c>
      <c r="B219" s="5" t="s">
        <v>1</v>
      </c>
      <c r="C219" s="90">
        <f t="shared" si="102"/>
        <v>0</v>
      </c>
      <c r="D219" s="95"/>
      <c r="E219" s="95"/>
      <c r="F219" s="133"/>
      <c r="G219" s="133"/>
      <c r="H219" s="133"/>
      <c r="I219" s="133"/>
      <c r="J219" s="156"/>
      <c r="K219" s="156"/>
      <c r="L219" s="156"/>
      <c r="M219" s="156"/>
      <c r="N219" s="156"/>
      <c r="O219" s="156"/>
      <c r="P219" s="156"/>
      <c r="Q219" s="26" t="s">
        <v>67</v>
      </c>
    </row>
    <row r="220" spans="1:17" s="4" customFormat="1" ht="15">
      <c r="A220" s="12">
        <v>164</v>
      </c>
      <c r="B220" s="5" t="s">
        <v>2</v>
      </c>
      <c r="C220" s="90">
        <f t="shared" si="102"/>
        <v>0</v>
      </c>
      <c r="D220" s="95"/>
      <c r="E220" s="95"/>
      <c r="F220" s="133"/>
      <c r="G220" s="133"/>
      <c r="H220" s="133"/>
      <c r="I220" s="133"/>
      <c r="J220" s="156"/>
      <c r="K220" s="156"/>
      <c r="L220" s="156"/>
      <c r="M220" s="156"/>
      <c r="N220" s="156"/>
      <c r="O220" s="156"/>
      <c r="P220" s="156"/>
      <c r="Q220" s="26" t="s">
        <v>67</v>
      </c>
    </row>
    <row r="221" spans="1:17" s="4" customFormat="1" ht="15">
      <c r="A221" s="12">
        <v>165</v>
      </c>
      <c r="B221" s="37" t="s">
        <v>4</v>
      </c>
      <c r="C221" s="90">
        <f t="shared" si="102"/>
        <v>0</v>
      </c>
      <c r="D221" s="96"/>
      <c r="E221" s="96"/>
      <c r="F221" s="135"/>
      <c r="G221" s="135"/>
      <c r="H221" s="135"/>
      <c r="I221" s="135"/>
      <c r="J221" s="157"/>
      <c r="K221" s="157"/>
      <c r="L221" s="157"/>
      <c r="M221" s="157"/>
      <c r="N221" s="157"/>
      <c r="O221" s="157"/>
      <c r="P221" s="157"/>
      <c r="Q221" s="30" t="s">
        <v>67</v>
      </c>
    </row>
    <row r="222" spans="1:17" s="4" customFormat="1" ht="30.75">
      <c r="A222" s="12">
        <v>166</v>
      </c>
      <c r="B222" s="5" t="s">
        <v>90</v>
      </c>
      <c r="C222" s="90">
        <f t="shared" si="102"/>
        <v>1387.763</v>
      </c>
      <c r="D222" s="90">
        <f aca="true" t="shared" si="112" ref="D222:K222">SUM(D223:D226)</f>
        <v>110</v>
      </c>
      <c r="E222" s="130">
        <f t="shared" si="112"/>
        <v>0</v>
      </c>
      <c r="F222" s="91">
        <f t="shared" si="112"/>
        <v>110</v>
      </c>
      <c r="G222" s="91">
        <f t="shared" si="112"/>
        <v>1167.763</v>
      </c>
      <c r="H222" s="130">
        <f t="shared" si="112"/>
        <v>0</v>
      </c>
      <c r="I222" s="130">
        <f t="shared" si="112"/>
        <v>0</v>
      </c>
      <c r="J222" s="130">
        <f t="shared" si="112"/>
        <v>0</v>
      </c>
      <c r="K222" s="130">
        <f t="shared" si="112"/>
        <v>0</v>
      </c>
      <c r="L222" s="130"/>
      <c r="M222" s="130"/>
      <c r="N222" s="130"/>
      <c r="O222" s="130"/>
      <c r="P222" s="130"/>
      <c r="Q222" s="26"/>
    </row>
    <row r="223" spans="1:17" s="4" customFormat="1" ht="15">
      <c r="A223" s="12">
        <v>167</v>
      </c>
      <c r="B223" s="5" t="s">
        <v>3</v>
      </c>
      <c r="C223" s="90">
        <f t="shared" si="102"/>
        <v>1387.763</v>
      </c>
      <c r="D223" s="99">
        <v>110</v>
      </c>
      <c r="E223" s="28"/>
      <c r="F223" s="93">
        <v>110</v>
      </c>
      <c r="G223" s="93">
        <v>1167.763</v>
      </c>
      <c r="H223" s="59"/>
      <c r="I223" s="59"/>
      <c r="J223" s="33"/>
      <c r="K223" s="33"/>
      <c r="L223" s="33"/>
      <c r="M223" s="33"/>
      <c r="N223" s="33"/>
      <c r="O223" s="33"/>
      <c r="P223" s="33"/>
      <c r="Q223" s="26" t="s">
        <v>67</v>
      </c>
    </row>
    <row r="224" spans="1:17" s="4" customFormat="1" ht="15">
      <c r="A224" s="12">
        <v>168</v>
      </c>
      <c r="B224" s="5" t="s">
        <v>1</v>
      </c>
      <c r="C224" s="90">
        <f t="shared" si="102"/>
        <v>0</v>
      </c>
      <c r="D224" s="95"/>
      <c r="E224" s="28"/>
      <c r="F224" s="93"/>
      <c r="G224" s="133"/>
      <c r="H224" s="59"/>
      <c r="I224" s="59"/>
      <c r="J224" s="33"/>
      <c r="K224" s="33"/>
      <c r="L224" s="33"/>
      <c r="M224" s="33"/>
      <c r="N224" s="33"/>
      <c r="O224" s="33"/>
      <c r="P224" s="33"/>
      <c r="Q224" s="26" t="s">
        <v>67</v>
      </c>
    </row>
    <row r="225" spans="1:17" s="4" customFormat="1" ht="15">
      <c r="A225" s="12">
        <v>169</v>
      </c>
      <c r="B225" s="5" t="s">
        <v>2</v>
      </c>
      <c r="C225" s="90">
        <f t="shared" si="102"/>
        <v>0</v>
      </c>
      <c r="D225" s="95"/>
      <c r="E225" s="28"/>
      <c r="F225" s="133"/>
      <c r="G225" s="133"/>
      <c r="H225" s="59"/>
      <c r="I225" s="59"/>
      <c r="J225" s="33"/>
      <c r="K225" s="33"/>
      <c r="L225" s="33"/>
      <c r="M225" s="33"/>
      <c r="N225" s="33"/>
      <c r="O225" s="33"/>
      <c r="P225" s="33"/>
      <c r="Q225" s="26" t="s">
        <v>67</v>
      </c>
    </row>
    <row r="226" spans="1:17" s="4" customFormat="1" ht="15">
      <c r="A226" s="12">
        <v>170</v>
      </c>
      <c r="B226" s="37" t="s">
        <v>4</v>
      </c>
      <c r="C226" s="90">
        <f t="shared" si="102"/>
        <v>0</v>
      </c>
      <c r="D226" s="96"/>
      <c r="E226" s="32"/>
      <c r="F226" s="135"/>
      <c r="G226" s="135"/>
      <c r="H226" s="60"/>
      <c r="I226" s="60"/>
      <c r="J226" s="34"/>
      <c r="K226" s="34"/>
      <c r="L226" s="34"/>
      <c r="M226" s="34"/>
      <c r="N226" s="34"/>
      <c r="O226" s="34"/>
      <c r="P226" s="34"/>
      <c r="Q226" s="30" t="s">
        <v>67</v>
      </c>
    </row>
    <row r="227" spans="1:17" s="4" customFormat="1" ht="30.75">
      <c r="A227" s="12">
        <v>171</v>
      </c>
      <c r="B227" s="5" t="s">
        <v>91</v>
      </c>
      <c r="C227" s="90">
        <f t="shared" si="102"/>
        <v>1310.2779999999998</v>
      </c>
      <c r="D227" s="154">
        <f aca="true" t="shared" si="113" ref="D227:M227">SUM(D228:D231)</f>
        <v>0</v>
      </c>
      <c r="E227" s="90">
        <f t="shared" si="113"/>
        <v>57.5</v>
      </c>
      <c r="F227" s="91">
        <f t="shared" si="113"/>
        <v>110</v>
      </c>
      <c r="G227" s="91">
        <f t="shared" si="113"/>
        <v>293.9</v>
      </c>
      <c r="H227" s="91">
        <f t="shared" si="113"/>
        <v>278.441</v>
      </c>
      <c r="I227" s="91">
        <f t="shared" si="113"/>
        <v>143.667</v>
      </c>
      <c r="J227" s="90">
        <f t="shared" si="113"/>
        <v>118.91</v>
      </c>
      <c r="K227" s="90">
        <f t="shared" si="113"/>
        <v>102.62</v>
      </c>
      <c r="L227" s="90">
        <f t="shared" si="113"/>
        <v>102.62</v>
      </c>
      <c r="M227" s="90">
        <f t="shared" si="113"/>
        <v>102.62</v>
      </c>
      <c r="N227" s="90">
        <f>SUM(N228:N231)</f>
        <v>0</v>
      </c>
      <c r="O227" s="90">
        <f>SUM(O228:O231)</f>
        <v>0</v>
      </c>
      <c r="P227" s="90">
        <f>SUM(P228:P231)</f>
        <v>0</v>
      </c>
      <c r="Q227" s="26"/>
    </row>
    <row r="228" spans="1:17" s="4" customFormat="1" ht="15">
      <c r="A228" s="12">
        <v>172</v>
      </c>
      <c r="B228" s="1" t="s">
        <v>3</v>
      </c>
      <c r="C228" s="90">
        <f t="shared" si="102"/>
        <v>1310.2779999999998</v>
      </c>
      <c r="D228" s="28"/>
      <c r="E228" s="99">
        <v>57.5</v>
      </c>
      <c r="F228" s="93">
        <v>110</v>
      </c>
      <c r="G228" s="93">
        <v>293.9</v>
      </c>
      <c r="H228" s="93">
        <v>278.441</v>
      </c>
      <c r="I228" s="93">
        <f>102.619+41.048</f>
        <v>143.667</v>
      </c>
      <c r="J228" s="92">
        <v>118.91</v>
      </c>
      <c r="K228" s="92">
        <v>102.62</v>
      </c>
      <c r="L228" s="92">
        <v>102.62</v>
      </c>
      <c r="M228" s="92">
        <v>102.62</v>
      </c>
      <c r="N228" s="92"/>
      <c r="O228" s="92"/>
      <c r="P228" s="92"/>
      <c r="Q228" s="26" t="s">
        <v>67</v>
      </c>
    </row>
    <row r="229" spans="1:17" s="4" customFormat="1" ht="15">
      <c r="A229" s="12">
        <v>173</v>
      </c>
      <c r="B229" s="1" t="s">
        <v>1</v>
      </c>
      <c r="C229" s="90">
        <f t="shared" si="102"/>
        <v>0</v>
      </c>
      <c r="D229" s="28"/>
      <c r="E229" s="99"/>
      <c r="F229" s="93"/>
      <c r="G229" s="93"/>
      <c r="H229" s="93"/>
      <c r="I229" s="93"/>
      <c r="J229" s="92"/>
      <c r="K229" s="33"/>
      <c r="L229" s="33"/>
      <c r="M229" s="33"/>
      <c r="N229" s="33"/>
      <c r="O229" s="33"/>
      <c r="P229" s="33"/>
      <c r="Q229" s="26" t="s">
        <v>67</v>
      </c>
    </row>
    <row r="230" spans="1:17" s="4" customFormat="1" ht="15">
      <c r="A230" s="12">
        <v>174</v>
      </c>
      <c r="B230" s="1" t="s">
        <v>2</v>
      </c>
      <c r="C230" s="90">
        <f t="shared" si="102"/>
        <v>0</v>
      </c>
      <c r="D230" s="28"/>
      <c r="E230" s="95"/>
      <c r="F230" s="133"/>
      <c r="G230" s="133"/>
      <c r="H230" s="133"/>
      <c r="I230" s="133"/>
      <c r="J230" s="156"/>
      <c r="K230" s="33"/>
      <c r="L230" s="33"/>
      <c r="M230" s="33"/>
      <c r="N230" s="33"/>
      <c r="O230" s="33"/>
      <c r="P230" s="33"/>
      <c r="Q230" s="26" t="s">
        <v>67</v>
      </c>
    </row>
    <row r="231" spans="1:17" s="4" customFormat="1" ht="15">
      <c r="A231" s="12">
        <v>175</v>
      </c>
      <c r="B231" s="29" t="s">
        <v>4</v>
      </c>
      <c r="C231" s="90">
        <f t="shared" si="102"/>
        <v>0</v>
      </c>
      <c r="D231" s="32"/>
      <c r="E231" s="96"/>
      <c r="F231" s="135"/>
      <c r="G231" s="135"/>
      <c r="H231" s="135"/>
      <c r="I231" s="135"/>
      <c r="J231" s="157"/>
      <c r="K231" s="34"/>
      <c r="L231" s="34"/>
      <c r="M231" s="34"/>
      <c r="N231" s="34"/>
      <c r="O231" s="34"/>
      <c r="P231" s="34"/>
      <c r="Q231" s="30" t="s">
        <v>67</v>
      </c>
    </row>
    <row r="232" spans="1:17" s="4" customFormat="1" ht="30.75">
      <c r="A232" s="12">
        <v>176</v>
      </c>
      <c r="B232" s="1" t="s">
        <v>92</v>
      </c>
      <c r="C232" s="90">
        <f t="shared" si="102"/>
        <v>29290.065080000004</v>
      </c>
      <c r="D232" s="90">
        <f aca="true" t="shared" si="114" ref="D232:M232">SUM(D233:D236)</f>
        <v>1764.7</v>
      </c>
      <c r="E232" s="90">
        <f t="shared" si="114"/>
        <v>1911.9</v>
      </c>
      <c r="F232" s="91">
        <f t="shared" si="114"/>
        <v>1592.8</v>
      </c>
      <c r="G232" s="91">
        <f t="shared" si="114"/>
        <v>2116.70888</v>
      </c>
      <c r="H232" s="91">
        <f t="shared" si="114"/>
        <v>2447.1499999999996</v>
      </c>
      <c r="I232" s="91">
        <f t="shared" si="114"/>
        <v>2272.09</v>
      </c>
      <c r="J232" s="90">
        <f t="shared" si="114"/>
        <v>2752.3602</v>
      </c>
      <c r="K232" s="90">
        <f t="shared" si="114"/>
        <v>4227.3460000000005</v>
      </c>
      <c r="L232" s="90">
        <f t="shared" si="114"/>
        <v>4941.38</v>
      </c>
      <c r="M232" s="90">
        <f t="shared" si="114"/>
        <v>5263.63</v>
      </c>
      <c r="N232" s="90">
        <f>SUM(N233:N236)</f>
        <v>0</v>
      </c>
      <c r="O232" s="90">
        <f>SUM(O233:O236)</f>
        <v>0</v>
      </c>
      <c r="P232" s="90">
        <f>SUM(P233:P236)</f>
        <v>0</v>
      </c>
      <c r="Q232" s="26">
        <v>20</v>
      </c>
    </row>
    <row r="233" spans="1:17" s="4" customFormat="1" ht="15">
      <c r="A233" s="12">
        <v>177</v>
      </c>
      <c r="B233" s="1" t="s">
        <v>3</v>
      </c>
      <c r="C233" s="90">
        <f t="shared" si="102"/>
        <v>29290.065080000004</v>
      </c>
      <c r="D233" s="99">
        <v>1764.7</v>
      </c>
      <c r="E233" s="99">
        <v>1911.9</v>
      </c>
      <c r="F233" s="93">
        <v>1592.8</v>
      </c>
      <c r="G233" s="93">
        <f>2113.45888+3.25</f>
        <v>2116.70888</v>
      </c>
      <c r="H233" s="93">
        <f>28.6+1052.124+500+109.8+290+466.626</f>
        <v>2447.1499999999996</v>
      </c>
      <c r="I233" s="93">
        <f>2812.09-540</f>
        <v>2272.09</v>
      </c>
      <c r="J233" s="92">
        <f>2252.3602+500</f>
        <v>2752.3602</v>
      </c>
      <c r="K233" s="92">
        <f>2041.89+2185.456</f>
        <v>4227.3460000000005</v>
      </c>
      <c r="L233" s="92">
        <f>5154.28-212.9</f>
        <v>4941.38</v>
      </c>
      <c r="M233" s="92">
        <f>5154.28-212.9+322.25</f>
        <v>5263.63</v>
      </c>
      <c r="N233" s="92"/>
      <c r="O233" s="92"/>
      <c r="P233" s="92"/>
      <c r="Q233" s="26" t="s">
        <v>67</v>
      </c>
    </row>
    <row r="234" spans="1:17" s="4" customFormat="1" ht="15">
      <c r="A234" s="12">
        <v>178</v>
      </c>
      <c r="B234" s="1" t="s">
        <v>1</v>
      </c>
      <c r="C234" s="90">
        <f t="shared" si="102"/>
        <v>0</v>
      </c>
      <c r="D234" s="95"/>
      <c r="E234" s="95"/>
      <c r="F234" s="133"/>
      <c r="G234" s="133"/>
      <c r="H234" s="133"/>
      <c r="I234" s="133"/>
      <c r="J234" s="156"/>
      <c r="K234" s="33"/>
      <c r="L234" s="33"/>
      <c r="M234" s="33"/>
      <c r="N234" s="33"/>
      <c r="O234" s="33"/>
      <c r="P234" s="33"/>
      <c r="Q234" s="26" t="s">
        <v>67</v>
      </c>
    </row>
    <row r="235" spans="1:17" s="4" customFormat="1" ht="15">
      <c r="A235" s="12">
        <v>179</v>
      </c>
      <c r="B235" s="1" t="s">
        <v>2</v>
      </c>
      <c r="C235" s="90">
        <f t="shared" si="102"/>
        <v>0</v>
      </c>
      <c r="D235" s="95"/>
      <c r="E235" s="95"/>
      <c r="F235" s="133"/>
      <c r="G235" s="133"/>
      <c r="H235" s="133"/>
      <c r="I235" s="133"/>
      <c r="J235" s="156"/>
      <c r="K235" s="33"/>
      <c r="L235" s="33"/>
      <c r="M235" s="33"/>
      <c r="N235" s="33"/>
      <c r="O235" s="33"/>
      <c r="P235" s="33"/>
      <c r="Q235" s="26" t="s">
        <v>67</v>
      </c>
    </row>
    <row r="236" spans="1:17" s="4" customFormat="1" ht="15">
      <c r="A236" s="12">
        <v>180</v>
      </c>
      <c r="B236" s="29" t="s">
        <v>4</v>
      </c>
      <c r="C236" s="90">
        <f t="shared" si="102"/>
        <v>0</v>
      </c>
      <c r="D236" s="96"/>
      <c r="E236" s="96"/>
      <c r="F236" s="135"/>
      <c r="G236" s="135"/>
      <c r="H236" s="135"/>
      <c r="I236" s="135"/>
      <c r="J236" s="157"/>
      <c r="K236" s="34"/>
      <c r="L236" s="34"/>
      <c r="M236" s="34"/>
      <c r="N236" s="34"/>
      <c r="O236" s="34"/>
      <c r="P236" s="34"/>
      <c r="Q236" s="30" t="s">
        <v>67</v>
      </c>
    </row>
    <row r="237" spans="1:17" s="4" customFormat="1" ht="30.75">
      <c r="A237" s="12">
        <v>181</v>
      </c>
      <c r="B237" s="1" t="s">
        <v>93</v>
      </c>
      <c r="C237" s="90">
        <f t="shared" si="102"/>
        <v>58</v>
      </c>
      <c r="D237" s="90">
        <f aca="true" t="shared" si="115" ref="D237:K237">SUM(D238:D241)</f>
        <v>58</v>
      </c>
      <c r="E237" s="154">
        <f t="shared" si="115"/>
        <v>0</v>
      </c>
      <c r="F237" s="154">
        <f t="shared" si="115"/>
        <v>0</v>
      </c>
      <c r="G237" s="154">
        <f t="shared" si="115"/>
        <v>0</v>
      </c>
      <c r="H237" s="130">
        <f t="shared" si="115"/>
        <v>0</v>
      </c>
      <c r="I237" s="130">
        <f t="shared" si="115"/>
        <v>0</v>
      </c>
      <c r="J237" s="154">
        <f t="shared" si="115"/>
        <v>0</v>
      </c>
      <c r="K237" s="154">
        <f t="shared" si="115"/>
        <v>0</v>
      </c>
      <c r="L237" s="154"/>
      <c r="M237" s="154"/>
      <c r="N237" s="154"/>
      <c r="O237" s="154"/>
      <c r="P237" s="154"/>
      <c r="Q237" s="26"/>
    </row>
    <row r="238" spans="1:17" s="4" customFormat="1" ht="15">
      <c r="A238" s="12">
        <v>182</v>
      </c>
      <c r="B238" s="1" t="s">
        <v>3</v>
      </c>
      <c r="C238" s="90">
        <f t="shared" si="102"/>
        <v>58</v>
      </c>
      <c r="D238" s="99">
        <v>58</v>
      </c>
      <c r="E238" s="28"/>
      <c r="F238" s="59"/>
      <c r="G238" s="59"/>
      <c r="H238" s="59"/>
      <c r="I238" s="59"/>
      <c r="J238" s="33"/>
      <c r="K238" s="33"/>
      <c r="L238" s="33"/>
      <c r="M238" s="33"/>
      <c r="N238" s="33"/>
      <c r="O238" s="33"/>
      <c r="P238" s="33"/>
      <c r="Q238" s="26" t="s">
        <v>67</v>
      </c>
    </row>
    <row r="239" spans="1:17" s="4" customFormat="1" ht="15">
      <c r="A239" s="12">
        <v>183</v>
      </c>
      <c r="B239" s="1" t="s">
        <v>1</v>
      </c>
      <c r="C239" s="90">
        <f t="shared" si="102"/>
        <v>0</v>
      </c>
      <c r="D239" s="95"/>
      <c r="E239" s="28"/>
      <c r="F239" s="59"/>
      <c r="G239" s="59"/>
      <c r="H239" s="59"/>
      <c r="I239" s="59"/>
      <c r="J239" s="33"/>
      <c r="K239" s="33"/>
      <c r="L239" s="33"/>
      <c r="M239" s="33"/>
      <c r="N239" s="33"/>
      <c r="O239" s="33"/>
      <c r="P239" s="33"/>
      <c r="Q239" s="26" t="s">
        <v>67</v>
      </c>
    </row>
    <row r="240" spans="1:17" s="4" customFormat="1" ht="15">
      <c r="A240" s="12">
        <v>184</v>
      </c>
      <c r="B240" s="1" t="s">
        <v>2</v>
      </c>
      <c r="C240" s="90">
        <f t="shared" si="102"/>
        <v>0</v>
      </c>
      <c r="D240" s="95"/>
      <c r="E240" s="28"/>
      <c r="F240" s="59"/>
      <c r="G240" s="59"/>
      <c r="H240" s="59"/>
      <c r="I240" s="59"/>
      <c r="J240" s="33"/>
      <c r="K240" s="33"/>
      <c r="L240" s="33"/>
      <c r="M240" s="33"/>
      <c r="N240" s="33"/>
      <c r="O240" s="33"/>
      <c r="P240" s="33"/>
      <c r="Q240" s="26" t="s">
        <v>67</v>
      </c>
    </row>
    <row r="241" spans="1:17" s="4" customFormat="1" ht="15">
      <c r="A241" s="12">
        <v>185</v>
      </c>
      <c r="B241" s="1" t="s">
        <v>4</v>
      </c>
      <c r="C241" s="90">
        <f aca="true" t="shared" si="116" ref="C241:C304">SUM(D241:P241)</f>
        <v>0</v>
      </c>
      <c r="D241" s="95"/>
      <c r="E241" s="28"/>
      <c r="F241" s="59"/>
      <c r="G241" s="59"/>
      <c r="H241" s="59"/>
      <c r="I241" s="59"/>
      <c r="J241" s="33"/>
      <c r="K241" s="33"/>
      <c r="L241" s="33"/>
      <c r="M241" s="33"/>
      <c r="N241" s="33"/>
      <c r="O241" s="33"/>
      <c r="P241" s="33"/>
      <c r="Q241" s="26" t="s">
        <v>67</v>
      </c>
    </row>
    <row r="242" spans="1:17" s="4" customFormat="1" ht="30.75">
      <c r="A242" s="12">
        <v>186</v>
      </c>
      <c r="B242" s="1" t="s">
        <v>136</v>
      </c>
      <c r="C242" s="90">
        <f t="shared" si="116"/>
        <v>150.67700000000002</v>
      </c>
      <c r="D242" s="130">
        <f aca="true" t="shared" si="117" ref="D242:K242">SUM(D243:D246)</f>
        <v>0</v>
      </c>
      <c r="E242" s="130">
        <f t="shared" si="117"/>
        <v>0</v>
      </c>
      <c r="F242" s="91">
        <f t="shared" si="117"/>
        <v>150.67700000000002</v>
      </c>
      <c r="G242" s="130">
        <f t="shared" si="117"/>
        <v>0</v>
      </c>
      <c r="H242" s="130">
        <f t="shared" si="117"/>
        <v>0</v>
      </c>
      <c r="I242" s="130">
        <f t="shared" si="117"/>
        <v>0</v>
      </c>
      <c r="J242" s="130">
        <f t="shared" si="117"/>
        <v>0</v>
      </c>
      <c r="K242" s="130">
        <f t="shared" si="117"/>
        <v>0</v>
      </c>
      <c r="L242" s="130"/>
      <c r="M242" s="130"/>
      <c r="N242" s="130"/>
      <c r="O242" s="130"/>
      <c r="P242" s="130"/>
      <c r="Q242" s="26"/>
    </row>
    <row r="243" spans="1:17" s="4" customFormat="1" ht="15">
      <c r="A243" s="12">
        <v>187</v>
      </c>
      <c r="B243" s="1" t="s">
        <v>3</v>
      </c>
      <c r="C243" s="90">
        <f t="shared" si="116"/>
        <v>150.67700000000002</v>
      </c>
      <c r="D243" s="28"/>
      <c r="E243" s="28"/>
      <c r="F243" s="93">
        <f>154.829-4.152</f>
        <v>150.67700000000002</v>
      </c>
      <c r="G243" s="59"/>
      <c r="H243" s="59"/>
      <c r="I243" s="59"/>
      <c r="J243" s="33"/>
      <c r="K243" s="33"/>
      <c r="L243" s="33"/>
      <c r="M243" s="33"/>
      <c r="N243" s="33"/>
      <c r="O243" s="33"/>
      <c r="P243" s="33"/>
      <c r="Q243" s="26" t="s">
        <v>67</v>
      </c>
    </row>
    <row r="244" spans="1:17" s="4" customFormat="1" ht="15">
      <c r="A244" s="12">
        <v>188</v>
      </c>
      <c r="B244" s="1" t="s">
        <v>1</v>
      </c>
      <c r="C244" s="90">
        <f t="shared" si="116"/>
        <v>0</v>
      </c>
      <c r="D244" s="28"/>
      <c r="E244" s="28"/>
      <c r="F244" s="133"/>
      <c r="G244" s="59"/>
      <c r="H244" s="59"/>
      <c r="I244" s="59"/>
      <c r="J244" s="33"/>
      <c r="K244" s="33"/>
      <c r="L244" s="33"/>
      <c r="M244" s="33"/>
      <c r="N244" s="33"/>
      <c r="O244" s="33"/>
      <c r="P244" s="33"/>
      <c r="Q244" s="26" t="s">
        <v>67</v>
      </c>
    </row>
    <row r="245" spans="1:17" s="4" customFormat="1" ht="15">
      <c r="A245" s="12">
        <v>189</v>
      </c>
      <c r="B245" s="1" t="s">
        <v>2</v>
      </c>
      <c r="C245" s="90">
        <f t="shared" si="116"/>
        <v>0</v>
      </c>
      <c r="D245" s="28"/>
      <c r="E245" s="28"/>
      <c r="F245" s="133"/>
      <c r="G245" s="59"/>
      <c r="H245" s="59"/>
      <c r="I245" s="59"/>
      <c r="J245" s="33"/>
      <c r="K245" s="33"/>
      <c r="L245" s="33"/>
      <c r="M245" s="33"/>
      <c r="N245" s="33"/>
      <c r="O245" s="33"/>
      <c r="P245" s="33"/>
      <c r="Q245" s="26" t="s">
        <v>67</v>
      </c>
    </row>
    <row r="246" spans="1:17" s="4" customFormat="1" ht="15">
      <c r="A246" s="12">
        <v>190</v>
      </c>
      <c r="B246" s="1" t="s">
        <v>4</v>
      </c>
      <c r="C246" s="90">
        <f t="shared" si="116"/>
        <v>0</v>
      </c>
      <c r="D246" s="28"/>
      <c r="E246" s="28"/>
      <c r="F246" s="133"/>
      <c r="G246" s="59"/>
      <c r="H246" s="59"/>
      <c r="I246" s="59"/>
      <c r="J246" s="33"/>
      <c r="K246" s="33"/>
      <c r="L246" s="33"/>
      <c r="M246" s="33"/>
      <c r="N246" s="33"/>
      <c r="O246" s="33"/>
      <c r="P246" s="33"/>
      <c r="Q246" s="26" t="s">
        <v>67</v>
      </c>
    </row>
    <row r="247" spans="1:17" s="4" customFormat="1" ht="46.5">
      <c r="A247" s="12">
        <v>191</v>
      </c>
      <c r="B247" s="1" t="s">
        <v>137</v>
      </c>
      <c r="C247" s="90">
        <f t="shared" si="116"/>
        <v>5105.368</v>
      </c>
      <c r="D247" s="130">
        <f aca="true" t="shared" si="118" ref="D247:K247">SUM(D248:D251)</f>
        <v>0</v>
      </c>
      <c r="E247" s="130">
        <f t="shared" si="118"/>
        <v>0</v>
      </c>
      <c r="F247" s="130">
        <f t="shared" si="118"/>
        <v>0</v>
      </c>
      <c r="G247" s="91">
        <f t="shared" si="118"/>
        <v>5105.368</v>
      </c>
      <c r="H247" s="130">
        <f t="shared" si="118"/>
        <v>0</v>
      </c>
      <c r="I247" s="130">
        <f t="shared" si="118"/>
        <v>0</v>
      </c>
      <c r="J247" s="130">
        <f t="shared" si="118"/>
        <v>0</v>
      </c>
      <c r="K247" s="130">
        <f t="shared" si="118"/>
        <v>0</v>
      </c>
      <c r="L247" s="130"/>
      <c r="M247" s="130"/>
      <c r="N247" s="130"/>
      <c r="O247" s="130"/>
      <c r="P247" s="130"/>
      <c r="Q247" s="26"/>
    </row>
    <row r="248" spans="1:17" s="4" customFormat="1" ht="15">
      <c r="A248" s="12">
        <v>192</v>
      </c>
      <c r="B248" s="1" t="s">
        <v>3</v>
      </c>
      <c r="C248" s="90">
        <f t="shared" si="116"/>
        <v>5105.368</v>
      </c>
      <c r="D248" s="28"/>
      <c r="E248" s="28"/>
      <c r="F248" s="59"/>
      <c r="G248" s="93">
        <f>5105.368</f>
        <v>5105.368</v>
      </c>
      <c r="H248" s="59"/>
      <c r="I248" s="59"/>
      <c r="J248" s="33"/>
      <c r="K248" s="33"/>
      <c r="L248" s="33"/>
      <c r="M248" s="33"/>
      <c r="N248" s="33"/>
      <c r="O248" s="33"/>
      <c r="P248" s="33"/>
      <c r="Q248" s="26"/>
    </row>
    <row r="249" spans="1:17" s="4" customFormat="1" ht="15">
      <c r="A249" s="12">
        <v>193</v>
      </c>
      <c r="B249" s="1" t="s">
        <v>1</v>
      </c>
      <c r="C249" s="90">
        <f t="shared" si="116"/>
        <v>0</v>
      </c>
      <c r="D249" s="28"/>
      <c r="E249" s="28"/>
      <c r="F249" s="59"/>
      <c r="G249" s="133"/>
      <c r="H249" s="59"/>
      <c r="I249" s="59"/>
      <c r="J249" s="33"/>
      <c r="K249" s="33"/>
      <c r="L249" s="33"/>
      <c r="M249" s="33"/>
      <c r="N249" s="33"/>
      <c r="O249" s="33"/>
      <c r="P249" s="33"/>
      <c r="Q249" s="26"/>
    </row>
    <row r="250" spans="1:17" s="4" customFormat="1" ht="15">
      <c r="A250" s="12">
        <v>194</v>
      </c>
      <c r="B250" s="1" t="s">
        <v>2</v>
      </c>
      <c r="C250" s="90">
        <f t="shared" si="116"/>
        <v>0</v>
      </c>
      <c r="D250" s="28"/>
      <c r="E250" s="28"/>
      <c r="F250" s="59"/>
      <c r="G250" s="133"/>
      <c r="H250" s="59"/>
      <c r="I250" s="59"/>
      <c r="J250" s="33"/>
      <c r="K250" s="33"/>
      <c r="L250" s="33"/>
      <c r="M250" s="33"/>
      <c r="N250" s="33"/>
      <c r="O250" s="33"/>
      <c r="P250" s="33"/>
      <c r="Q250" s="26"/>
    </row>
    <row r="251" spans="1:17" s="4" customFormat="1" ht="15">
      <c r="A251" s="12">
        <v>195</v>
      </c>
      <c r="B251" s="1" t="s">
        <v>4</v>
      </c>
      <c r="C251" s="90">
        <f t="shared" si="116"/>
        <v>0</v>
      </c>
      <c r="D251" s="28"/>
      <c r="E251" s="28"/>
      <c r="F251" s="59"/>
      <c r="G251" s="133"/>
      <c r="H251" s="59"/>
      <c r="I251" s="59"/>
      <c r="J251" s="33"/>
      <c r="K251" s="33"/>
      <c r="L251" s="33"/>
      <c r="M251" s="33"/>
      <c r="N251" s="33"/>
      <c r="O251" s="33"/>
      <c r="P251" s="33"/>
      <c r="Q251" s="26"/>
    </row>
    <row r="252" spans="1:17" s="4" customFormat="1" ht="46.5">
      <c r="A252" s="12">
        <v>196</v>
      </c>
      <c r="B252" s="1" t="s">
        <v>128</v>
      </c>
      <c r="C252" s="90">
        <f t="shared" si="116"/>
        <v>1721.73</v>
      </c>
      <c r="D252" s="90">
        <f aca="true" t="shared" si="119" ref="D252:K252">SUM(D253:D256)</f>
        <v>100</v>
      </c>
      <c r="E252" s="130">
        <f t="shared" si="119"/>
        <v>0</v>
      </c>
      <c r="F252" s="91">
        <f t="shared" si="119"/>
        <v>138.748</v>
      </c>
      <c r="G252" s="91">
        <f t="shared" si="119"/>
        <v>198.6</v>
      </c>
      <c r="H252" s="91">
        <f t="shared" si="119"/>
        <v>1142</v>
      </c>
      <c r="I252" s="91">
        <f t="shared" si="119"/>
        <v>0</v>
      </c>
      <c r="J252" s="91">
        <f t="shared" si="119"/>
        <v>142.382</v>
      </c>
      <c r="K252" s="91">
        <f t="shared" si="119"/>
        <v>0</v>
      </c>
      <c r="L252" s="91"/>
      <c r="M252" s="91"/>
      <c r="N252" s="91"/>
      <c r="O252" s="91"/>
      <c r="P252" s="91"/>
      <c r="Q252" s="26">
        <v>21</v>
      </c>
    </row>
    <row r="253" spans="1:17" s="4" customFormat="1" ht="15">
      <c r="A253" s="12">
        <v>197</v>
      </c>
      <c r="B253" s="1" t="s">
        <v>3</v>
      </c>
      <c r="C253" s="90">
        <f t="shared" si="116"/>
        <v>1721.73</v>
      </c>
      <c r="D253" s="99">
        <f aca="true" t="shared" si="120" ref="D253:K253">D258+D263</f>
        <v>100</v>
      </c>
      <c r="E253" s="28">
        <f t="shared" si="120"/>
        <v>0</v>
      </c>
      <c r="F253" s="93">
        <f t="shared" si="120"/>
        <v>138.748</v>
      </c>
      <c r="G253" s="93">
        <f t="shared" si="120"/>
        <v>198.6</v>
      </c>
      <c r="H253" s="93">
        <f>H258+H263</f>
        <v>1142</v>
      </c>
      <c r="I253" s="93">
        <f t="shared" si="120"/>
        <v>0</v>
      </c>
      <c r="J253" s="92">
        <f t="shared" si="120"/>
        <v>142.382</v>
      </c>
      <c r="K253" s="92">
        <f t="shared" si="120"/>
        <v>0</v>
      </c>
      <c r="L253" s="92"/>
      <c r="M253" s="92"/>
      <c r="N253" s="92"/>
      <c r="O253" s="92"/>
      <c r="P253" s="92"/>
      <c r="Q253" s="26" t="s">
        <v>67</v>
      </c>
    </row>
    <row r="254" spans="1:17" s="4" customFormat="1" ht="15">
      <c r="A254" s="12">
        <v>198</v>
      </c>
      <c r="B254" s="1" t="s">
        <v>1</v>
      </c>
      <c r="C254" s="90">
        <f t="shared" si="116"/>
        <v>0</v>
      </c>
      <c r="D254" s="99">
        <f aca="true" t="shared" si="121" ref="D254:I256">D259+D264</f>
        <v>0</v>
      </c>
      <c r="E254" s="28">
        <f t="shared" si="121"/>
        <v>0</v>
      </c>
      <c r="F254" s="59">
        <f t="shared" si="121"/>
        <v>0</v>
      </c>
      <c r="G254" s="59">
        <f t="shared" si="121"/>
        <v>0</v>
      </c>
      <c r="H254" s="59">
        <f t="shared" si="121"/>
        <v>0</v>
      </c>
      <c r="I254" s="59">
        <f t="shared" si="121"/>
        <v>0</v>
      </c>
      <c r="J254" s="33">
        <f>J259+J264</f>
        <v>0</v>
      </c>
      <c r="K254" s="33"/>
      <c r="L254" s="33"/>
      <c r="M254" s="33"/>
      <c r="N254" s="33"/>
      <c r="O254" s="33"/>
      <c r="P254" s="33"/>
      <c r="Q254" s="26" t="s">
        <v>67</v>
      </c>
    </row>
    <row r="255" spans="1:17" s="4" customFormat="1" ht="15">
      <c r="A255" s="12">
        <v>199</v>
      </c>
      <c r="B255" s="1" t="s">
        <v>2</v>
      </c>
      <c r="C255" s="90">
        <f t="shared" si="116"/>
        <v>0</v>
      </c>
      <c r="D255" s="99">
        <f t="shared" si="121"/>
        <v>0</v>
      </c>
      <c r="E255" s="28">
        <f t="shared" si="121"/>
        <v>0</v>
      </c>
      <c r="F255" s="59">
        <f t="shared" si="121"/>
        <v>0</v>
      </c>
      <c r="G255" s="59">
        <f t="shared" si="121"/>
        <v>0</v>
      </c>
      <c r="H255" s="59">
        <f t="shared" si="121"/>
        <v>0</v>
      </c>
      <c r="I255" s="59">
        <f t="shared" si="121"/>
        <v>0</v>
      </c>
      <c r="J255" s="33">
        <f>J260+J265</f>
        <v>0</v>
      </c>
      <c r="K255" s="33"/>
      <c r="L255" s="33"/>
      <c r="M255" s="33"/>
      <c r="N255" s="33"/>
      <c r="O255" s="33"/>
      <c r="P255" s="33"/>
      <c r="Q255" s="26" t="s">
        <v>67</v>
      </c>
    </row>
    <row r="256" spans="1:17" s="4" customFormat="1" ht="15">
      <c r="A256" s="12">
        <v>200</v>
      </c>
      <c r="B256" s="29" t="s">
        <v>4</v>
      </c>
      <c r="C256" s="90">
        <f t="shared" si="116"/>
        <v>0</v>
      </c>
      <c r="D256" s="99">
        <f t="shared" si="121"/>
        <v>0</v>
      </c>
      <c r="E256" s="28">
        <f t="shared" si="121"/>
        <v>0</v>
      </c>
      <c r="F256" s="59">
        <f t="shared" si="121"/>
        <v>0</v>
      </c>
      <c r="G256" s="59">
        <f t="shared" si="121"/>
        <v>0</v>
      </c>
      <c r="H256" s="59">
        <f t="shared" si="121"/>
        <v>0</v>
      </c>
      <c r="I256" s="59">
        <f t="shared" si="121"/>
        <v>0</v>
      </c>
      <c r="J256" s="33">
        <f>J261+J266</f>
        <v>0</v>
      </c>
      <c r="K256" s="34"/>
      <c r="L256" s="34"/>
      <c r="M256" s="34"/>
      <c r="N256" s="34"/>
      <c r="O256" s="34"/>
      <c r="P256" s="34"/>
      <c r="Q256" s="30" t="s">
        <v>67</v>
      </c>
    </row>
    <row r="257" spans="1:17" s="4" customFormat="1" ht="46.5">
      <c r="A257" s="12">
        <v>201</v>
      </c>
      <c r="B257" s="56" t="s">
        <v>127</v>
      </c>
      <c r="C257" s="90">
        <f t="shared" si="116"/>
        <v>242.382</v>
      </c>
      <c r="D257" s="130">
        <f aca="true" t="shared" si="122" ref="D257:K257">SUM(D258:D261)</f>
        <v>100</v>
      </c>
      <c r="E257" s="130">
        <f t="shared" si="122"/>
        <v>0</v>
      </c>
      <c r="F257" s="130">
        <f t="shared" si="122"/>
        <v>0</v>
      </c>
      <c r="G257" s="130">
        <f t="shared" si="122"/>
        <v>0</v>
      </c>
      <c r="H257" s="130">
        <f t="shared" si="122"/>
        <v>0</v>
      </c>
      <c r="I257" s="130">
        <f t="shared" si="122"/>
        <v>0</v>
      </c>
      <c r="J257" s="91">
        <f>SUM(J258:J261)</f>
        <v>142.382</v>
      </c>
      <c r="K257" s="130">
        <f t="shared" si="122"/>
        <v>0</v>
      </c>
      <c r="L257" s="130"/>
      <c r="M257" s="130"/>
      <c r="N257" s="130"/>
      <c r="O257" s="130"/>
      <c r="P257" s="130"/>
      <c r="Q257" s="57">
        <v>21</v>
      </c>
    </row>
    <row r="258" spans="1:17" s="4" customFormat="1" ht="15">
      <c r="A258" s="12">
        <v>202</v>
      </c>
      <c r="B258" s="16" t="s">
        <v>3</v>
      </c>
      <c r="C258" s="90">
        <f t="shared" si="116"/>
        <v>242.382</v>
      </c>
      <c r="D258" s="186">
        <v>100</v>
      </c>
      <c r="E258" s="186"/>
      <c r="F258" s="59"/>
      <c r="G258" s="59"/>
      <c r="H258" s="59"/>
      <c r="I258" s="59"/>
      <c r="J258" s="92">
        <v>142.382</v>
      </c>
      <c r="K258" s="59"/>
      <c r="L258" s="59"/>
      <c r="M258" s="59"/>
      <c r="N258" s="59"/>
      <c r="O258" s="59"/>
      <c r="P258" s="59"/>
      <c r="Q258" s="57" t="s">
        <v>67</v>
      </c>
    </row>
    <row r="259" spans="1:17" s="4" customFormat="1" ht="15">
      <c r="A259" s="12">
        <v>203</v>
      </c>
      <c r="B259" s="16" t="s">
        <v>1</v>
      </c>
      <c r="C259" s="90">
        <f t="shared" si="116"/>
        <v>0</v>
      </c>
      <c r="D259" s="186"/>
      <c r="E259" s="186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7" t="s">
        <v>67</v>
      </c>
    </row>
    <row r="260" spans="1:17" s="4" customFormat="1" ht="15">
      <c r="A260" s="12">
        <v>204</v>
      </c>
      <c r="B260" s="16" t="s">
        <v>2</v>
      </c>
      <c r="C260" s="90">
        <f t="shared" si="116"/>
        <v>0</v>
      </c>
      <c r="D260" s="186"/>
      <c r="E260" s="186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7" t="s">
        <v>67</v>
      </c>
    </row>
    <row r="261" spans="1:17" s="4" customFormat="1" ht="15">
      <c r="A261" s="12">
        <v>205</v>
      </c>
      <c r="B261" s="56" t="s">
        <v>4</v>
      </c>
      <c r="C261" s="90">
        <f t="shared" si="116"/>
        <v>0</v>
      </c>
      <c r="D261" s="187"/>
      <c r="E261" s="187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58" t="s">
        <v>67</v>
      </c>
    </row>
    <row r="262" spans="1:17" s="4" customFormat="1" ht="30.75">
      <c r="A262" s="12">
        <v>206</v>
      </c>
      <c r="B262" s="56" t="s">
        <v>133</v>
      </c>
      <c r="C262" s="90">
        <f t="shared" si="116"/>
        <v>1479.348</v>
      </c>
      <c r="D262" s="130">
        <f aca="true" t="shared" si="123" ref="D262:K262">SUM(D263:D266)</f>
        <v>0</v>
      </c>
      <c r="E262" s="130">
        <f t="shared" si="123"/>
        <v>0</v>
      </c>
      <c r="F262" s="91">
        <f t="shared" si="123"/>
        <v>138.748</v>
      </c>
      <c r="G262" s="91">
        <f t="shared" si="123"/>
        <v>198.6</v>
      </c>
      <c r="H262" s="91">
        <f t="shared" si="123"/>
        <v>1142</v>
      </c>
      <c r="I262" s="130">
        <f t="shared" si="123"/>
        <v>0</v>
      </c>
      <c r="J262" s="130">
        <f t="shared" si="123"/>
        <v>0</v>
      </c>
      <c r="K262" s="130">
        <f t="shared" si="123"/>
        <v>0</v>
      </c>
      <c r="L262" s="130"/>
      <c r="M262" s="130"/>
      <c r="N262" s="130"/>
      <c r="O262" s="130"/>
      <c r="P262" s="130"/>
      <c r="Q262" s="57"/>
    </row>
    <row r="263" spans="1:17" s="4" customFormat="1" ht="15">
      <c r="A263" s="12">
        <v>207</v>
      </c>
      <c r="B263" s="16" t="s">
        <v>3</v>
      </c>
      <c r="C263" s="90">
        <f t="shared" si="116"/>
        <v>1479.348</v>
      </c>
      <c r="D263" s="186"/>
      <c r="E263" s="186"/>
      <c r="F263" s="93">
        <f>140.2-1.452</f>
        <v>138.748</v>
      </c>
      <c r="G263" s="93">
        <v>198.6</v>
      </c>
      <c r="H263" s="93">
        <v>1142</v>
      </c>
      <c r="I263" s="59"/>
      <c r="J263" s="59"/>
      <c r="K263" s="59"/>
      <c r="L263" s="59"/>
      <c r="M263" s="59"/>
      <c r="N263" s="59"/>
      <c r="O263" s="59"/>
      <c r="P263" s="59"/>
      <c r="Q263" s="57" t="s">
        <v>67</v>
      </c>
    </row>
    <row r="264" spans="1:17" s="4" customFormat="1" ht="15">
      <c r="A264" s="12">
        <v>208</v>
      </c>
      <c r="B264" s="16" t="s">
        <v>1</v>
      </c>
      <c r="C264" s="90">
        <f t="shared" si="116"/>
        <v>0</v>
      </c>
      <c r="D264" s="186"/>
      <c r="E264" s="186"/>
      <c r="F264" s="133"/>
      <c r="G264" s="133"/>
      <c r="H264" s="133"/>
      <c r="I264" s="133"/>
      <c r="J264" s="133"/>
      <c r="K264" s="59"/>
      <c r="L264" s="59"/>
      <c r="M264" s="59"/>
      <c r="N264" s="59"/>
      <c r="O264" s="59"/>
      <c r="P264" s="59"/>
      <c r="Q264" s="57" t="s">
        <v>67</v>
      </c>
    </row>
    <row r="265" spans="1:17" s="4" customFormat="1" ht="15">
      <c r="A265" s="12">
        <v>209</v>
      </c>
      <c r="B265" s="16" t="s">
        <v>2</v>
      </c>
      <c r="C265" s="90">
        <f t="shared" si="116"/>
        <v>0</v>
      </c>
      <c r="D265" s="186"/>
      <c r="E265" s="186"/>
      <c r="F265" s="133"/>
      <c r="G265" s="133"/>
      <c r="H265" s="133"/>
      <c r="I265" s="133"/>
      <c r="J265" s="133"/>
      <c r="K265" s="59"/>
      <c r="L265" s="59"/>
      <c r="M265" s="59"/>
      <c r="N265" s="59"/>
      <c r="O265" s="59"/>
      <c r="P265" s="59"/>
      <c r="Q265" s="57" t="s">
        <v>67</v>
      </c>
    </row>
    <row r="266" spans="1:17" s="4" customFormat="1" ht="15">
      <c r="A266" s="12">
        <v>210</v>
      </c>
      <c r="B266" s="16" t="s">
        <v>4</v>
      </c>
      <c r="C266" s="90">
        <f t="shared" si="116"/>
        <v>0</v>
      </c>
      <c r="D266" s="186"/>
      <c r="E266" s="186"/>
      <c r="F266" s="133"/>
      <c r="G266" s="133"/>
      <c r="H266" s="133"/>
      <c r="I266" s="133"/>
      <c r="J266" s="133"/>
      <c r="K266" s="59"/>
      <c r="L266" s="59"/>
      <c r="M266" s="59"/>
      <c r="N266" s="59"/>
      <c r="O266" s="59"/>
      <c r="P266" s="59"/>
      <c r="Q266" s="57" t="s">
        <v>67</v>
      </c>
    </row>
    <row r="267" spans="1:17" s="4" customFormat="1" ht="46.5">
      <c r="A267" s="12">
        <v>211</v>
      </c>
      <c r="B267" s="16" t="s">
        <v>134</v>
      </c>
      <c r="C267" s="90">
        <f t="shared" si="116"/>
        <v>5542.731</v>
      </c>
      <c r="D267" s="130">
        <f aca="true" t="shared" si="124" ref="D267:K267">SUM(D268:D271)</f>
        <v>0</v>
      </c>
      <c r="E267" s="130">
        <f t="shared" si="124"/>
        <v>0</v>
      </c>
      <c r="F267" s="91">
        <f t="shared" si="124"/>
        <v>1800.433</v>
      </c>
      <c r="G267" s="91">
        <f t="shared" si="124"/>
        <v>1990.448</v>
      </c>
      <c r="H267" s="67">
        <f t="shared" si="124"/>
        <v>628</v>
      </c>
      <c r="I267" s="67">
        <f t="shared" si="124"/>
        <v>1123.85</v>
      </c>
      <c r="J267" s="130">
        <f t="shared" si="124"/>
        <v>0</v>
      </c>
      <c r="K267" s="130">
        <f t="shared" si="124"/>
        <v>0</v>
      </c>
      <c r="L267" s="130"/>
      <c r="M267" s="130"/>
      <c r="N267" s="130"/>
      <c r="O267" s="130"/>
      <c r="P267" s="130"/>
      <c r="Q267" s="57"/>
    </row>
    <row r="268" spans="1:17" s="4" customFormat="1" ht="15">
      <c r="A268" s="12">
        <v>212</v>
      </c>
      <c r="B268" s="16" t="s">
        <v>3</v>
      </c>
      <c r="C268" s="90">
        <f t="shared" si="116"/>
        <v>5542.731</v>
      </c>
      <c r="D268" s="186"/>
      <c r="E268" s="186"/>
      <c r="F268" s="93">
        <f>1579.332+221.101</f>
        <v>1800.433</v>
      </c>
      <c r="G268" s="93">
        <f>150+1858-9.452-8.1</f>
        <v>1990.448</v>
      </c>
      <c r="H268" s="69">
        <v>628</v>
      </c>
      <c r="I268" s="69">
        <f>1183-59.15</f>
        <v>1123.85</v>
      </c>
      <c r="J268" s="59"/>
      <c r="K268" s="59"/>
      <c r="L268" s="59"/>
      <c r="M268" s="59"/>
      <c r="N268" s="59"/>
      <c r="O268" s="59"/>
      <c r="P268" s="59"/>
      <c r="Q268" s="57"/>
    </row>
    <row r="269" spans="1:17" s="4" customFormat="1" ht="15">
      <c r="A269" s="12">
        <v>213</v>
      </c>
      <c r="B269" s="16" t="s">
        <v>1</v>
      </c>
      <c r="C269" s="90">
        <f t="shared" si="116"/>
        <v>0</v>
      </c>
      <c r="D269" s="186"/>
      <c r="E269" s="186"/>
      <c r="F269" s="133"/>
      <c r="G269" s="133"/>
      <c r="H269" s="59"/>
      <c r="I269" s="59"/>
      <c r="J269" s="59"/>
      <c r="K269" s="59"/>
      <c r="L269" s="59"/>
      <c r="M269" s="59"/>
      <c r="N269" s="59"/>
      <c r="O269" s="59"/>
      <c r="P269" s="59"/>
      <c r="Q269" s="57"/>
    </row>
    <row r="270" spans="1:17" s="4" customFormat="1" ht="15">
      <c r="A270" s="12">
        <v>214</v>
      </c>
      <c r="B270" s="16" t="s">
        <v>2</v>
      </c>
      <c r="C270" s="90">
        <f t="shared" si="116"/>
        <v>0</v>
      </c>
      <c r="D270" s="186"/>
      <c r="E270" s="186"/>
      <c r="F270" s="133"/>
      <c r="G270" s="133"/>
      <c r="H270" s="59"/>
      <c r="I270" s="59"/>
      <c r="J270" s="59"/>
      <c r="K270" s="59"/>
      <c r="L270" s="59"/>
      <c r="M270" s="59"/>
      <c r="N270" s="59"/>
      <c r="O270" s="59"/>
      <c r="P270" s="59"/>
      <c r="Q270" s="57"/>
    </row>
    <row r="271" spans="1:17" s="4" customFormat="1" ht="15">
      <c r="A271" s="12">
        <v>215</v>
      </c>
      <c r="B271" s="16" t="s">
        <v>4</v>
      </c>
      <c r="C271" s="90">
        <f t="shared" si="116"/>
        <v>0</v>
      </c>
      <c r="D271" s="186"/>
      <c r="E271" s="186"/>
      <c r="F271" s="133"/>
      <c r="G271" s="133"/>
      <c r="H271" s="59"/>
      <c r="I271" s="59"/>
      <c r="J271" s="59"/>
      <c r="K271" s="59"/>
      <c r="L271" s="59"/>
      <c r="M271" s="59"/>
      <c r="N271" s="59"/>
      <c r="O271" s="59"/>
      <c r="P271" s="59"/>
      <c r="Q271" s="57"/>
    </row>
    <row r="272" spans="1:21" s="4" customFormat="1" ht="30.75">
      <c r="A272" s="12">
        <v>216</v>
      </c>
      <c r="B272" s="16" t="s">
        <v>135</v>
      </c>
      <c r="C272" s="90">
        <f t="shared" si="116"/>
        <v>50.776399999999995</v>
      </c>
      <c r="D272" s="130">
        <f aca="true" t="shared" si="125" ref="D272:K272">SUM(D273:D276)</f>
        <v>0</v>
      </c>
      <c r="E272" s="130">
        <f t="shared" si="125"/>
        <v>0</v>
      </c>
      <c r="F272" s="91">
        <f t="shared" si="125"/>
        <v>50.776399999999995</v>
      </c>
      <c r="G272" s="91">
        <f t="shared" si="125"/>
        <v>0</v>
      </c>
      <c r="H272" s="130">
        <f t="shared" si="125"/>
        <v>0</v>
      </c>
      <c r="I272" s="130">
        <f t="shared" si="125"/>
        <v>0</v>
      </c>
      <c r="J272" s="130">
        <f t="shared" si="125"/>
        <v>0</v>
      </c>
      <c r="K272" s="130">
        <f t="shared" si="125"/>
        <v>0</v>
      </c>
      <c r="L272" s="130"/>
      <c r="M272" s="130"/>
      <c r="N272" s="130"/>
      <c r="O272" s="130"/>
      <c r="P272" s="130"/>
      <c r="Q272" s="57"/>
      <c r="S272" s="215"/>
      <c r="T272" s="215"/>
      <c r="U272" s="215"/>
    </row>
    <row r="273" spans="1:21" s="4" customFormat="1" ht="15">
      <c r="A273" s="12">
        <v>217</v>
      </c>
      <c r="B273" s="16" t="s">
        <v>3</v>
      </c>
      <c r="C273" s="90">
        <f t="shared" si="116"/>
        <v>50.776399999999995</v>
      </c>
      <c r="D273" s="186"/>
      <c r="E273" s="186"/>
      <c r="F273" s="93">
        <f>20.7764+30</f>
        <v>50.776399999999995</v>
      </c>
      <c r="G273" s="133"/>
      <c r="H273" s="59"/>
      <c r="I273" s="59"/>
      <c r="J273" s="59"/>
      <c r="K273" s="59"/>
      <c r="L273" s="59"/>
      <c r="M273" s="59"/>
      <c r="N273" s="59"/>
      <c r="O273" s="59"/>
      <c r="P273" s="59"/>
      <c r="Q273" s="57"/>
      <c r="S273" s="215"/>
      <c r="T273" s="216"/>
      <c r="U273" s="215"/>
    </row>
    <row r="274" spans="1:21" s="4" customFormat="1" ht="15">
      <c r="A274" s="12">
        <v>218</v>
      </c>
      <c r="B274" s="16" t="s">
        <v>1</v>
      </c>
      <c r="C274" s="90">
        <f t="shared" si="116"/>
        <v>0</v>
      </c>
      <c r="D274" s="186"/>
      <c r="E274" s="186"/>
      <c r="F274" s="133"/>
      <c r="G274" s="133"/>
      <c r="H274" s="59"/>
      <c r="I274" s="59"/>
      <c r="J274" s="59"/>
      <c r="K274" s="59"/>
      <c r="L274" s="59"/>
      <c r="M274" s="59"/>
      <c r="N274" s="59"/>
      <c r="O274" s="59"/>
      <c r="P274" s="59"/>
      <c r="Q274" s="57"/>
      <c r="S274" s="215"/>
      <c r="T274" s="215"/>
      <c r="U274" s="215"/>
    </row>
    <row r="275" spans="1:17" s="4" customFormat="1" ht="15">
      <c r="A275" s="12">
        <v>219</v>
      </c>
      <c r="B275" s="16" t="s">
        <v>2</v>
      </c>
      <c r="C275" s="90">
        <f t="shared" si="116"/>
        <v>0</v>
      </c>
      <c r="D275" s="186"/>
      <c r="E275" s="186"/>
      <c r="F275" s="133"/>
      <c r="G275" s="133"/>
      <c r="H275" s="59"/>
      <c r="I275" s="59"/>
      <c r="J275" s="59"/>
      <c r="K275" s="59"/>
      <c r="L275" s="59"/>
      <c r="M275" s="59"/>
      <c r="N275" s="59"/>
      <c r="O275" s="59"/>
      <c r="P275" s="59"/>
      <c r="Q275" s="57"/>
    </row>
    <row r="276" spans="1:17" s="4" customFormat="1" ht="15">
      <c r="A276" s="12">
        <v>220</v>
      </c>
      <c r="B276" s="16" t="s">
        <v>4</v>
      </c>
      <c r="C276" s="90">
        <f t="shared" si="116"/>
        <v>0</v>
      </c>
      <c r="D276" s="186"/>
      <c r="E276" s="186"/>
      <c r="F276" s="133"/>
      <c r="G276" s="133"/>
      <c r="H276" s="59"/>
      <c r="I276" s="59"/>
      <c r="J276" s="59"/>
      <c r="K276" s="59"/>
      <c r="L276" s="59"/>
      <c r="M276" s="59"/>
      <c r="N276" s="59"/>
      <c r="O276" s="59"/>
      <c r="P276" s="59"/>
      <c r="Q276" s="57"/>
    </row>
    <row r="277" spans="1:17" s="4" customFormat="1" ht="78">
      <c r="A277" s="12" t="s">
        <v>167</v>
      </c>
      <c r="B277" s="16" t="s">
        <v>166</v>
      </c>
      <c r="C277" s="90">
        <f t="shared" si="116"/>
        <v>3278.50009</v>
      </c>
      <c r="D277" s="130">
        <f aca="true" t="shared" si="126" ref="D277:K277">SUM(D278:D281)</f>
        <v>0</v>
      </c>
      <c r="E277" s="130">
        <f t="shared" si="126"/>
        <v>0</v>
      </c>
      <c r="F277" s="130">
        <f t="shared" si="126"/>
        <v>0</v>
      </c>
      <c r="G277" s="130">
        <f t="shared" si="126"/>
        <v>0</v>
      </c>
      <c r="H277" s="91">
        <f t="shared" si="126"/>
        <v>3278.50009</v>
      </c>
      <c r="I277" s="130">
        <f t="shared" si="126"/>
        <v>0</v>
      </c>
      <c r="J277" s="130">
        <f t="shared" si="126"/>
        <v>0</v>
      </c>
      <c r="K277" s="130">
        <f t="shared" si="126"/>
        <v>0</v>
      </c>
      <c r="L277" s="130"/>
      <c r="M277" s="130"/>
      <c r="N277" s="130"/>
      <c r="O277" s="130"/>
      <c r="P277" s="130"/>
      <c r="Q277" s="57"/>
    </row>
    <row r="278" spans="1:17" s="4" customFormat="1" ht="15">
      <c r="A278" s="12" t="s">
        <v>168</v>
      </c>
      <c r="B278" s="16" t="s">
        <v>3</v>
      </c>
      <c r="C278" s="90">
        <f t="shared" si="116"/>
        <v>3278.50009</v>
      </c>
      <c r="D278" s="186"/>
      <c r="E278" s="186"/>
      <c r="F278" s="59"/>
      <c r="G278" s="59"/>
      <c r="H278" s="93">
        <f>3283.279-4.77891</f>
        <v>3278.50009</v>
      </c>
      <c r="I278" s="59"/>
      <c r="J278" s="59"/>
      <c r="K278" s="59"/>
      <c r="L278" s="59"/>
      <c r="M278" s="59"/>
      <c r="N278" s="59"/>
      <c r="O278" s="59"/>
      <c r="P278" s="59"/>
      <c r="Q278" s="57"/>
    </row>
    <row r="279" spans="1:17" s="4" customFormat="1" ht="15">
      <c r="A279" s="12" t="s">
        <v>169</v>
      </c>
      <c r="B279" s="16" t="s">
        <v>1</v>
      </c>
      <c r="C279" s="90">
        <f t="shared" si="116"/>
        <v>0</v>
      </c>
      <c r="D279" s="186"/>
      <c r="E279" s="186"/>
      <c r="F279" s="59"/>
      <c r="G279" s="59"/>
      <c r="H279" s="133"/>
      <c r="I279" s="59"/>
      <c r="J279" s="59"/>
      <c r="K279" s="59"/>
      <c r="L279" s="59"/>
      <c r="M279" s="59"/>
      <c r="N279" s="59"/>
      <c r="O279" s="59"/>
      <c r="P279" s="59"/>
      <c r="Q279" s="57"/>
    </row>
    <row r="280" spans="1:17" s="4" customFormat="1" ht="15">
      <c r="A280" s="12" t="s">
        <v>170</v>
      </c>
      <c r="B280" s="16" t="s">
        <v>2</v>
      </c>
      <c r="C280" s="90">
        <f t="shared" si="116"/>
        <v>0</v>
      </c>
      <c r="D280" s="186"/>
      <c r="E280" s="186"/>
      <c r="F280" s="59"/>
      <c r="G280" s="59"/>
      <c r="H280" s="133"/>
      <c r="I280" s="59"/>
      <c r="J280" s="59"/>
      <c r="K280" s="59"/>
      <c r="L280" s="59"/>
      <c r="M280" s="59"/>
      <c r="N280" s="59"/>
      <c r="O280" s="59"/>
      <c r="P280" s="59"/>
      <c r="Q280" s="57"/>
    </row>
    <row r="281" spans="1:17" s="4" customFormat="1" ht="15">
      <c r="A281" s="12" t="s">
        <v>171</v>
      </c>
      <c r="B281" s="16" t="s">
        <v>4</v>
      </c>
      <c r="C281" s="90">
        <f t="shared" si="116"/>
        <v>0</v>
      </c>
      <c r="D281" s="186"/>
      <c r="E281" s="186"/>
      <c r="F281" s="59"/>
      <c r="G281" s="59"/>
      <c r="H281" s="133"/>
      <c r="I281" s="59"/>
      <c r="J281" s="59"/>
      <c r="K281" s="59"/>
      <c r="L281" s="59"/>
      <c r="M281" s="59"/>
      <c r="N281" s="59"/>
      <c r="O281" s="59"/>
      <c r="P281" s="59"/>
      <c r="Q281" s="57"/>
    </row>
    <row r="282" spans="1:17" s="4" customFormat="1" ht="30.75">
      <c r="A282" s="12" t="s">
        <v>358</v>
      </c>
      <c r="B282" s="16" t="s">
        <v>434</v>
      </c>
      <c r="C282" s="90">
        <f t="shared" si="116"/>
        <v>1071.81657</v>
      </c>
      <c r="D282" s="130">
        <f aca="true" t="shared" si="127" ref="D282:M282">SUM(D283:D286)</f>
        <v>0</v>
      </c>
      <c r="E282" s="130">
        <f t="shared" si="127"/>
        <v>0</v>
      </c>
      <c r="F282" s="130">
        <f t="shared" si="127"/>
        <v>0</v>
      </c>
      <c r="G282" s="130">
        <f t="shared" si="127"/>
        <v>0</v>
      </c>
      <c r="H282" s="91">
        <f t="shared" si="127"/>
        <v>64.08057</v>
      </c>
      <c r="I282" s="91">
        <f t="shared" si="127"/>
        <v>159.434</v>
      </c>
      <c r="J282" s="91">
        <f t="shared" si="127"/>
        <v>170</v>
      </c>
      <c r="K282" s="91">
        <f t="shared" si="127"/>
        <v>159.434</v>
      </c>
      <c r="L282" s="91">
        <f t="shared" si="127"/>
        <v>259.434</v>
      </c>
      <c r="M282" s="91">
        <f t="shared" si="127"/>
        <v>259.434</v>
      </c>
      <c r="N282" s="91">
        <f>SUM(N283:N286)</f>
        <v>0</v>
      </c>
      <c r="O282" s="91">
        <f>SUM(O283:O286)</f>
        <v>0</v>
      </c>
      <c r="P282" s="91">
        <f>SUM(P283:P286)</f>
        <v>0</v>
      </c>
      <c r="Q282" s="57"/>
    </row>
    <row r="283" spans="1:17" s="4" customFormat="1" ht="15">
      <c r="A283" s="12" t="s">
        <v>359</v>
      </c>
      <c r="B283" s="16" t="s">
        <v>3</v>
      </c>
      <c r="C283" s="90">
        <f t="shared" si="116"/>
        <v>1071.81657</v>
      </c>
      <c r="D283" s="186"/>
      <c r="E283" s="186"/>
      <c r="F283" s="59"/>
      <c r="G283" s="59"/>
      <c r="H283" s="93">
        <f>24.222+39.85857</f>
        <v>64.08057</v>
      </c>
      <c r="I283" s="69">
        <f>159.434</f>
        <v>159.434</v>
      </c>
      <c r="J283" s="69">
        <v>170</v>
      </c>
      <c r="K283" s="69">
        <f>159.434</f>
        <v>159.434</v>
      </c>
      <c r="L283" s="69">
        <f>259.434</f>
        <v>259.434</v>
      </c>
      <c r="M283" s="69">
        <f>259.434</f>
        <v>259.434</v>
      </c>
      <c r="N283" s="69"/>
      <c r="O283" s="69"/>
      <c r="P283" s="69"/>
      <c r="Q283" s="57"/>
    </row>
    <row r="284" spans="1:17" s="4" customFormat="1" ht="15">
      <c r="A284" s="12" t="s">
        <v>360</v>
      </c>
      <c r="B284" s="16" t="s">
        <v>1</v>
      </c>
      <c r="C284" s="90">
        <f t="shared" si="116"/>
        <v>0</v>
      </c>
      <c r="D284" s="186"/>
      <c r="E284" s="186"/>
      <c r="F284" s="59"/>
      <c r="G284" s="59"/>
      <c r="H284" s="133"/>
      <c r="I284" s="59"/>
      <c r="J284" s="59"/>
      <c r="K284" s="59"/>
      <c r="L284" s="59"/>
      <c r="M284" s="59"/>
      <c r="N284" s="59"/>
      <c r="O284" s="59"/>
      <c r="P284" s="59"/>
      <c r="Q284" s="57"/>
    </row>
    <row r="285" spans="1:17" s="4" customFormat="1" ht="15">
      <c r="A285" s="12" t="s">
        <v>361</v>
      </c>
      <c r="B285" s="16" t="s">
        <v>2</v>
      </c>
      <c r="C285" s="90">
        <f t="shared" si="116"/>
        <v>0</v>
      </c>
      <c r="D285" s="186"/>
      <c r="E285" s="186"/>
      <c r="F285" s="59"/>
      <c r="G285" s="59"/>
      <c r="H285" s="133"/>
      <c r="I285" s="59"/>
      <c r="J285" s="59"/>
      <c r="K285" s="59"/>
      <c r="L285" s="59"/>
      <c r="M285" s="59"/>
      <c r="N285" s="59"/>
      <c r="O285" s="59"/>
      <c r="P285" s="59"/>
      <c r="Q285" s="57"/>
    </row>
    <row r="286" spans="1:17" s="4" customFormat="1" ht="15">
      <c r="A286" s="12" t="s">
        <v>362</v>
      </c>
      <c r="B286" s="16" t="s">
        <v>4</v>
      </c>
      <c r="C286" s="90">
        <f t="shared" si="116"/>
        <v>0</v>
      </c>
      <c r="D286" s="186"/>
      <c r="E286" s="186"/>
      <c r="F286" s="59"/>
      <c r="G286" s="59"/>
      <c r="H286" s="133"/>
      <c r="I286" s="59"/>
      <c r="J286" s="59"/>
      <c r="K286" s="59"/>
      <c r="L286" s="59"/>
      <c r="M286" s="59"/>
      <c r="N286" s="59"/>
      <c r="O286" s="59"/>
      <c r="P286" s="59"/>
      <c r="Q286" s="57"/>
    </row>
    <row r="287" spans="1:17" s="4" customFormat="1" ht="15" outlineLevel="1">
      <c r="A287" s="12">
        <v>221</v>
      </c>
      <c r="B287" s="292" t="s">
        <v>94</v>
      </c>
      <c r="C287" s="292"/>
      <c r="D287" s="292"/>
      <c r="E287" s="292"/>
      <c r="F287" s="292"/>
      <c r="G287" s="292"/>
      <c r="H287" s="292"/>
      <c r="I287" s="292"/>
      <c r="J287" s="292"/>
      <c r="K287" s="292"/>
      <c r="L287" s="292"/>
      <c r="M287" s="292"/>
      <c r="N287" s="292"/>
      <c r="O287" s="292"/>
      <c r="P287" s="292"/>
      <c r="Q287" s="292"/>
    </row>
    <row r="288" spans="1:17" s="4" customFormat="1" ht="15" outlineLevel="1">
      <c r="A288" s="12">
        <v>222</v>
      </c>
      <c r="B288" s="1" t="s">
        <v>95</v>
      </c>
      <c r="C288" s="90">
        <f t="shared" si="116"/>
        <v>51621.12968</v>
      </c>
      <c r="D288" s="66">
        <f aca="true" t="shared" si="128" ref="D288:I288">SUM(D289:D292)</f>
        <v>2647.3</v>
      </c>
      <c r="E288" s="66">
        <f t="shared" si="128"/>
        <v>1518.3</v>
      </c>
      <c r="F288" s="67">
        <f t="shared" si="128"/>
        <v>1797.36626</v>
      </c>
      <c r="G288" s="67">
        <f t="shared" si="128"/>
        <v>4836.05097</v>
      </c>
      <c r="H288" s="67">
        <f t="shared" si="128"/>
        <v>7040.489589999999</v>
      </c>
      <c r="I288" s="67">
        <f t="shared" si="128"/>
        <v>5734.876859999999</v>
      </c>
      <c r="J288" s="66">
        <f aca="true" t="shared" si="129" ref="J288:P288">SUM(J289:J292)</f>
        <v>3228.3510000000006</v>
      </c>
      <c r="K288" s="66">
        <f t="shared" si="129"/>
        <v>6461.127</v>
      </c>
      <c r="L288" s="66">
        <f t="shared" si="129"/>
        <v>6089.996</v>
      </c>
      <c r="M288" s="66">
        <f t="shared" si="129"/>
        <v>12267.272</v>
      </c>
      <c r="N288" s="66">
        <f t="shared" si="129"/>
        <v>0</v>
      </c>
      <c r="O288" s="66">
        <f t="shared" si="129"/>
        <v>0</v>
      </c>
      <c r="P288" s="66">
        <f t="shared" si="129"/>
        <v>0</v>
      </c>
      <c r="Q288" s="26"/>
    </row>
    <row r="289" spans="1:17" s="4" customFormat="1" ht="15" outlineLevel="1">
      <c r="A289" s="12">
        <v>223</v>
      </c>
      <c r="B289" s="1" t="s">
        <v>3</v>
      </c>
      <c r="C289" s="90">
        <f t="shared" si="116"/>
        <v>51621.12968</v>
      </c>
      <c r="D289" s="113">
        <f>SUM(D295)</f>
        <v>2647.3</v>
      </c>
      <c r="E289" s="113">
        <f aca="true" t="shared" si="130" ref="E289:J289">SUM(E295)</f>
        <v>1518.3</v>
      </c>
      <c r="F289" s="113">
        <f t="shared" si="130"/>
        <v>1797.36626</v>
      </c>
      <c r="G289" s="113">
        <f t="shared" si="130"/>
        <v>4836.05097</v>
      </c>
      <c r="H289" s="111">
        <f t="shared" si="130"/>
        <v>7040.489589999999</v>
      </c>
      <c r="I289" s="111">
        <f t="shared" si="130"/>
        <v>5734.876859999999</v>
      </c>
      <c r="J289" s="113">
        <f t="shared" si="130"/>
        <v>3228.3510000000006</v>
      </c>
      <c r="K289" s="113">
        <f aca="true" t="shared" si="131" ref="K289:M292">SUM(K295)</f>
        <v>6461.127</v>
      </c>
      <c r="L289" s="113">
        <f t="shared" si="131"/>
        <v>6089.996</v>
      </c>
      <c r="M289" s="113">
        <f t="shared" si="131"/>
        <v>12267.272</v>
      </c>
      <c r="N289" s="113">
        <f aca="true" t="shared" si="132" ref="N289:P292">SUM(N295)</f>
        <v>0</v>
      </c>
      <c r="O289" s="113">
        <f t="shared" si="132"/>
        <v>0</v>
      </c>
      <c r="P289" s="113">
        <f t="shared" si="132"/>
        <v>0</v>
      </c>
      <c r="Q289" s="26"/>
    </row>
    <row r="290" spans="1:17" s="4" customFormat="1" ht="15" outlineLevel="1">
      <c r="A290" s="12">
        <v>224</v>
      </c>
      <c r="B290" s="1" t="s">
        <v>1</v>
      </c>
      <c r="C290" s="90">
        <f t="shared" si="116"/>
        <v>0</v>
      </c>
      <c r="D290" s="113">
        <f>SUM(D296)</f>
        <v>0</v>
      </c>
      <c r="E290" s="113">
        <f aca="true" t="shared" si="133" ref="E290:J290">SUM(E296)</f>
        <v>0</v>
      </c>
      <c r="F290" s="113">
        <f t="shared" si="133"/>
        <v>0</v>
      </c>
      <c r="G290" s="113">
        <f t="shared" si="133"/>
        <v>0</v>
      </c>
      <c r="H290" s="111">
        <f t="shared" si="133"/>
        <v>0</v>
      </c>
      <c r="I290" s="111">
        <f t="shared" si="133"/>
        <v>0</v>
      </c>
      <c r="J290" s="113">
        <f t="shared" si="133"/>
        <v>0</v>
      </c>
      <c r="K290" s="113">
        <f t="shared" si="131"/>
        <v>0</v>
      </c>
      <c r="L290" s="113">
        <f t="shared" si="131"/>
        <v>0</v>
      </c>
      <c r="M290" s="113">
        <f t="shared" si="131"/>
        <v>0</v>
      </c>
      <c r="N290" s="113">
        <f t="shared" si="132"/>
        <v>0</v>
      </c>
      <c r="O290" s="113">
        <f t="shared" si="132"/>
        <v>0</v>
      </c>
      <c r="P290" s="113">
        <f t="shared" si="132"/>
        <v>0</v>
      </c>
      <c r="Q290" s="26"/>
    </row>
    <row r="291" spans="1:17" s="4" customFormat="1" ht="15" outlineLevel="1">
      <c r="A291" s="12">
        <v>225</v>
      </c>
      <c r="B291" s="1" t="s">
        <v>2</v>
      </c>
      <c r="C291" s="90">
        <f t="shared" si="116"/>
        <v>0</v>
      </c>
      <c r="D291" s="113">
        <f>SUM(D297)</f>
        <v>0</v>
      </c>
      <c r="E291" s="113">
        <f aca="true" t="shared" si="134" ref="E291:J291">SUM(E297)</f>
        <v>0</v>
      </c>
      <c r="F291" s="113">
        <f t="shared" si="134"/>
        <v>0</v>
      </c>
      <c r="G291" s="113">
        <f t="shared" si="134"/>
        <v>0</v>
      </c>
      <c r="H291" s="111">
        <f t="shared" si="134"/>
        <v>0</v>
      </c>
      <c r="I291" s="111">
        <f t="shared" si="134"/>
        <v>0</v>
      </c>
      <c r="J291" s="113">
        <f t="shared" si="134"/>
        <v>0</v>
      </c>
      <c r="K291" s="113">
        <f t="shared" si="131"/>
        <v>0</v>
      </c>
      <c r="L291" s="113">
        <f t="shared" si="131"/>
        <v>0</v>
      </c>
      <c r="M291" s="113">
        <f t="shared" si="131"/>
        <v>0</v>
      </c>
      <c r="N291" s="113">
        <f t="shared" si="132"/>
        <v>0</v>
      </c>
      <c r="O291" s="113">
        <f t="shared" si="132"/>
        <v>0</v>
      </c>
      <c r="P291" s="113">
        <f t="shared" si="132"/>
        <v>0</v>
      </c>
      <c r="Q291" s="26"/>
    </row>
    <row r="292" spans="1:17" s="4" customFormat="1" ht="15" outlineLevel="1">
      <c r="A292" s="12">
        <v>226</v>
      </c>
      <c r="B292" s="29" t="s">
        <v>4</v>
      </c>
      <c r="C292" s="90">
        <f t="shared" si="116"/>
        <v>0</v>
      </c>
      <c r="D292" s="113">
        <f>SUM(D298)</f>
        <v>0</v>
      </c>
      <c r="E292" s="113">
        <f aca="true" t="shared" si="135" ref="E292:J292">SUM(E298)</f>
        <v>0</v>
      </c>
      <c r="F292" s="113">
        <f t="shared" si="135"/>
        <v>0</v>
      </c>
      <c r="G292" s="113">
        <f t="shared" si="135"/>
        <v>0</v>
      </c>
      <c r="H292" s="111">
        <f t="shared" si="135"/>
        <v>0</v>
      </c>
      <c r="I292" s="111">
        <f t="shared" si="135"/>
        <v>0</v>
      </c>
      <c r="J292" s="113">
        <f t="shared" si="135"/>
        <v>0</v>
      </c>
      <c r="K292" s="113">
        <f t="shared" si="131"/>
        <v>0</v>
      </c>
      <c r="L292" s="113">
        <f t="shared" si="131"/>
        <v>0</v>
      </c>
      <c r="M292" s="113">
        <f t="shared" si="131"/>
        <v>0</v>
      </c>
      <c r="N292" s="113">
        <f t="shared" si="132"/>
        <v>0</v>
      </c>
      <c r="O292" s="113">
        <f t="shared" si="132"/>
        <v>0</v>
      </c>
      <c r="P292" s="113">
        <f t="shared" si="132"/>
        <v>0</v>
      </c>
      <c r="Q292" s="30"/>
    </row>
    <row r="293" spans="1:17" s="4" customFormat="1" ht="15" outlineLevel="1">
      <c r="A293" s="12">
        <v>227</v>
      </c>
      <c r="B293" s="257" t="s">
        <v>96</v>
      </c>
      <c r="C293" s="257"/>
      <c r="D293" s="257"/>
      <c r="E293" s="257"/>
      <c r="F293" s="257"/>
      <c r="G293" s="257"/>
      <c r="H293" s="257"/>
      <c r="I293" s="257"/>
      <c r="J293" s="257"/>
      <c r="K293" s="257"/>
      <c r="L293" s="257"/>
      <c r="M293" s="257"/>
      <c r="N293" s="257"/>
      <c r="O293" s="257"/>
      <c r="P293" s="257"/>
      <c r="Q293" s="257"/>
    </row>
    <row r="294" spans="1:17" s="4" customFormat="1" ht="30.75" outlineLevel="1">
      <c r="A294" s="12">
        <v>228</v>
      </c>
      <c r="B294" s="1" t="s">
        <v>71</v>
      </c>
      <c r="C294" s="90">
        <f t="shared" si="116"/>
        <v>51621.12968</v>
      </c>
      <c r="D294" s="117">
        <f aca="true" t="shared" si="136" ref="D294:I294">SUM(D295:D298)</f>
        <v>2647.3</v>
      </c>
      <c r="E294" s="117">
        <f t="shared" si="136"/>
        <v>1518.3</v>
      </c>
      <c r="F294" s="118">
        <f t="shared" si="136"/>
        <v>1797.36626</v>
      </c>
      <c r="G294" s="118">
        <f t="shared" si="136"/>
        <v>4836.05097</v>
      </c>
      <c r="H294" s="118">
        <f t="shared" si="136"/>
        <v>7040.489589999999</v>
      </c>
      <c r="I294" s="118">
        <f t="shared" si="136"/>
        <v>5734.876859999999</v>
      </c>
      <c r="J294" s="117">
        <f aca="true" t="shared" si="137" ref="J294:P294">SUM(J295:J298)</f>
        <v>3228.3510000000006</v>
      </c>
      <c r="K294" s="117">
        <f t="shared" si="137"/>
        <v>6461.127</v>
      </c>
      <c r="L294" s="117">
        <f t="shared" si="137"/>
        <v>6089.996</v>
      </c>
      <c r="M294" s="117">
        <f t="shared" si="137"/>
        <v>12267.272</v>
      </c>
      <c r="N294" s="117">
        <f t="shared" si="137"/>
        <v>0</v>
      </c>
      <c r="O294" s="117">
        <f t="shared" si="137"/>
        <v>0</v>
      </c>
      <c r="P294" s="117">
        <f t="shared" si="137"/>
        <v>0</v>
      </c>
      <c r="Q294" s="1"/>
    </row>
    <row r="295" spans="1:17" s="4" customFormat="1" ht="15" outlineLevel="1">
      <c r="A295" s="12">
        <v>229</v>
      </c>
      <c r="B295" s="1" t="s">
        <v>3</v>
      </c>
      <c r="C295" s="90">
        <f t="shared" si="116"/>
        <v>51621.12968</v>
      </c>
      <c r="D295" s="113">
        <f aca="true" t="shared" si="138" ref="D295:I295">SUM(D300,D305,D310,D315,D320,D325,D330,D335,D340)</f>
        <v>2647.3</v>
      </c>
      <c r="E295" s="113">
        <f t="shared" si="138"/>
        <v>1518.3</v>
      </c>
      <c r="F295" s="69">
        <f t="shared" si="138"/>
        <v>1797.36626</v>
      </c>
      <c r="G295" s="69">
        <f>SUM(G300,G305,G310,G315,G320,G325,G330,G335,G340)</f>
        <v>4836.05097</v>
      </c>
      <c r="H295" s="69">
        <f t="shared" si="138"/>
        <v>7040.489589999999</v>
      </c>
      <c r="I295" s="69">
        <f t="shared" si="138"/>
        <v>5734.876859999999</v>
      </c>
      <c r="J295" s="68">
        <f aca="true" t="shared" si="139" ref="J295:K298">SUM(J300,J305,J310,J315,J320,J325,J330,J335,J340)</f>
        <v>3228.3510000000006</v>
      </c>
      <c r="K295" s="68">
        <f t="shared" si="139"/>
        <v>6461.127</v>
      </c>
      <c r="L295" s="68">
        <f aca="true" t="shared" si="140" ref="L295:M298">SUM(L300,L305,L310,L315,L320,L325,L330,L335,L340)</f>
        <v>6089.996</v>
      </c>
      <c r="M295" s="68">
        <f t="shared" si="140"/>
        <v>12267.272</v>
      </c>
      <c r="N295" s="68">
        <f aca="true" t="shared" si="141" ref="N295:P298">SUM(N300,N305,N310,N315,N320,N325,N330,N335,N340)</f>
        <v>0</v>
      </c>
      <c r="O295" s="68">
        <f t="shared" si="141"/>
        <v>0</v>
      </c>
      <c r="P295" s="68">
        <f t="shared" si="141"/>
        <v>0</v>
      </c>
      <c r="Q295" s="26" t="s">
        <v>67</v>
      </c>
    </row>
    <row r="296" spans="1:17" s="4" customFormat="1" ht="15" outlineLevel="1">
      <c r="A296" s="12">
        <v>230</v>
      </c>
      <c r="B296" s="1" t="s">
        <v>1</v>
      </c>
      <c r="C296" s="90">
        <f t="shared" si="116"/>
        <v>0</v>
      </c>
      <c r="D296" s="113">
        <f aca="true" t="shared" si="142" ref="D296:I298">SUM(D301,D306,D311,D316,D321,D326,D331,D336,D341)</f>
        <v>0</v>
      </c>
      <c r="E296" s="113">
        <f t="shared" si="142"/>
        <v>0</v>
      </c>
      <c r="F296" s="69">
        <f t="shared" si="142"/>
        <v>0</v>
      </c>
      <c r="G296" s="69">
        <f t="shared" si="142"/>
        <v>0</v>
      </c>
      <c r="H296" s="69">
        <f t="shared" si="142"/>
        <v>0</v>
      </c>
      <c r="I296" s="69">
        <f t="shared" si="142"/>
        <v>0</v>
      </c>
      <c r="J296" s="68">
        <f t="shared" si="139"/>
        <v>0</v>
      </c>
      <c r="K296" s="68">
        <f t="shared" si="139"/>
        <v>0</v>
      </c>
      <c r="L296" s="68">
        <f t="shared" si="140"/>
        <v>0</v>
      </c>
      <c r="M296" s="68">
        <f t="shared" si="140"/>
        <v>0</v>
      </c>
      <c r="N296" s="68">
        <f t="shared" si="141"/>
        <v>0</v>
      </c>
      <c r="O296" s="68">
        <f t="shared" si="141"/>
        <v>0</v>
      </c>
      <c r="P296" s="68">
        <f t="shared" si="141"/>
        <v>0</v>
      </c>
      <c r="Q296" s="26"/>
    </row>
    <row r="297" spans="1:17" s="4" customFormat="1" ht="15" outlineLevel="1">
      <c r="A297" s="12">
        <v>231</v>
      </c>
      <c r="B297" s="1" t="s">
        <v>2</v>
      </c>
      <c r="C297" s="90">
        <f t="shared" si="116"/>
        <v>0</v>
      </c>
      <c r="D297" s="113">
        <f t="shared" si="142"/>
        <v>0</v>
      </c>
      <c r="E297" s="113">
        <f t="shared" si="142"/>
        <v>0</v>
      </c>
      <c r="F297" s="69">
        <f t="shared" si="142"/>
        <v>0</v>
      </c>
      <c r="G297" s="69">
        <f t="shared" si="142"/>
        <v>0</v>
      </c>
      <c r="H297" s="69">
        <f t="shared" si="142"/>
        <v>0</v>
      </c>
      <c r="I297" s="69">
        <f t="shared" si="142"/>
        <v>0</v>
      </c>
      <c r="J297" s="68">
        <f t="shared" si="139"/>
        <v>0</v>
      </c>
      <c r="K297" s="68">
        <f t="shared" si="139"/>
        <v>0</v>
      </c>
      <c r="L297" s="68">
        <f t="shared" si="140"/>
        <v>0</v>
      </c>
      <c r="M297" s="68">
        <f t="shared" si="140"/>
        <v>0</v>
      </c>
      <c r="N297" s="68">
        <f t="shared" si="141"/>
        <v>0</v>
      </c>
      <c r="O297" s="68">
        <f t="shared" si="141"/>
        <v>0</v>
      </c>
      <c r="P297" s="68">
        <f t="shared" si="141"/>
        <v>0</v>
      </c>
      <c r="Q297" s="26"/>
    </row>
    <row r="298" spans="1:17" s="4" customFormat="1" ht="15" outlineLevel="1">
      <c r="A298" s="12">
        <v>232</v>
      </c>
      <c r="B298" s="29" t="s">
        <v>4</v>
      </c>
      <c r="C298" s="90">
        <f t="shared" si="116"/>
        <v>0</v>
      </c>
      <c r="D298" s="113">
        <f t="shared" si="142"/>
        <v>0</v>
      </c>
      <c r="E298" s="113">
        <f t="shared" si="142"/>
        <v>0</v>
      </c>
      <c r="F298" s="69">
        <f t="shared" si="142"/>
        <v>0</v>
      </c>
      <c r="G298" s="69">
        <f t="shared" si="142"/>
        <v>0</v>
      </c>
      <c r="H298" s="69">
        <f t="shared" si="142"/>
        <v>0</v>
      </c>
      <c r="I298" s="69">
        <f t="shared" si="142"/>
        <v>0</v>
      </c>
      <c r="J298" s="68">
        <f t="shared" si="139"/>
        <v>0</v>
      </c>
      <c r="K298" s="68">
        <f t="shared" si="139"/>
        <v>0</v>
      </c>
      <c r="L298" s="68">
        <f t="shared" si="140"/>
        <v>0</v>
      </c>
      <c r="M298" s="68">
        <f t="shared" si="140"/>
        <v>0</v>
      </c>
      <c r="N298" s="68">
        <f t="shared" si="141"/>
        <v>0</v>
      </c>
      <c r="O298" s="68">
        <f t="shared" si="141"/>
        <v>0</v>
      </c>
      <c r="P298" s="68">
        <f t="shared" si="141"/>
        <v>0</v>
      </c>
      <c r="Q298" s="30"/>
    </row>
    <row r="299" spans="1:17" s="4" customFormat="1" ht="46.5" outlineLevel="1">
      <c r="A299" s="12">
        <v>233</v>
      </c>
      <c r="B299" s="1" t="s">
        <v>97</v>
      </c>
      <c r="C299" s="90">
        <f t="shared" si="116"/>
        <v>6432.573279999999</v>
      </c>
      <c r="D299" s="66">
        <f aca="true" t="shared" si="143" ref="D299:K299">SUM(D300:D303)</f>
        <v>813</v>
      </c>
      <c r="E299" s="66">
        <f t="shared" si="143"/>
        <v>764.5</v>
      </c>
      <c r="F299" s="67">
        <f t="shared" si="143"/>
        <v>692.0532599999999</v>
      </c>
      <c r="G299" s="67">
        <f t="shared" si="143"/>
        <v>869.944</v>
      </c>
      <c r="H299" s="67">
        <f t="shared" si="143"/>
        <v>3245.5564999999997</v>
      </c>
      <c r="I299" s="67">
        <f t="shared" si="143"/>
        <v>47.51952</v>
      </c>
      <c r="J299" s="66">
        <f t="shared" si="143"/>
        <v>0</v>
      </c>
      <c r="K299" s="154">
        <f t="shared" si="143"/>
        <v>0</v>
      </c>
      <c r="L299" s="154"/>
      <c r="M299" s="154"/>
      <c r="N299" s="154"/>
      <c r="O299" s="154"/>
      <c r="P299" s="154"/>
      <c r="Q299" s="26">
        <v>25</v>
      </c>
    </row>
    <row r="300" spans="1:17" s="4" customFormat="1" ht="15" outlineLevel="1">
      <c r="A300" s="12">
        <v>234</v>
      </c>
      <c r="B300" s="1" t="s">
        <v>3</v>
      </c>
      <c r="C300" s="90">
        <f t="shared" si="116"/>
        <v>6432.573279999999</v>
      </c>
      <c r="D300" s="113">
        <v>813</v>
      </c>
      <c r="E300" s="113">
        <v>764.5</v>
      </c>
      <c r="F300" s="69">
        <f>694.3-2.24674</f>
        <v>692.0532599999999</v>
      </c>
      <c r="G300" s="69">
        <f>3.9+866.044</f>
        <v>869.944</v>
      </c>
      <c r="H300" s="69">
        <f>14.6+1668.36+1563.3608-0.7643</f>
        <v>3245.5564999999997</v>
      </c>
      <c r="I300" s="69">
        <f>79.69-32.17048</f>
        <v>47.51952</v>
      </c>
      <c r="J300" s="68"/>
      <c r="K300" s="33"/>
      <c r="L300" s="33"/>
      <c r="M300" s="33"/>
      <c r="N300" s="33"/>
      <c r="O300" s="33"/>
      <c r="P300" s="33"/>
      <c r="Q300" s="26"/>
    </row>
    <row r="301" spans="1:17" s="4" customFormat="1" ht="15" outlineLevel="1">
      <c r="A301" s="12">
        <v>235</v>
      </c>
      <c r="B301" s="1" t="s">
        <v>1</v>
      </c>
      <c r="C301" s="90">
        <f t="shared" si="116"/>
        <v>0</v>
      </c>
      <c r="D301" s="28">
        <v>0</v>
      </c>
      <c r="E301" s="28"/>
      <c r="F301" s="59"/>
      <c r="G301" s="59"/>
      <c r="H301" s="59"/>
      <c r="I301" s="59"/>
      <c r="J301" s="33"/>
      <c r="K301" s="33"/>
      <c r="L301" s="33"/>
      <c r="M301" s="33"/>
      <c r="N301" s="33"/>
      <c r="O301" s="33"/>
      <c r="P301" s="33"/>
      <c r="Q301" s="26"/>
    </row>
    <row r="302" spans="1:17" s="4" customFormat="1" ht="15" outlineLevel="1">
      <c r="A302" s="12">
        <v>236</v>
      </c>
      <c r="B302" s="1" t="s">
        <v>2</v>
      </c>
      <c r="C302" s="90">
        <f t="shared" si="116"/>
        <v>0</v>
      </c>
      <c r="D302" s="28">
        <v>0</v>
      </c>
      <c r="E302" s="28"/>
      <c r="F302" s="59"/>
      <c r="G302" s="59"/>
      <c r="H302" s="59"/>
      <c r="I302" s="59"/>
      <c r="J302" s="33"/>
      <c r="K302" s="33"/>
      <c r="L302" s="33"/>
      <c r="M302" s="33"/>
      <c r="N302" s="33"/>
      <c r="O302" s="33"/>
      <c r="P302" s="33"/>
      <c r="Q302" s="26"/>
    </row>
    <row r="303" spans="1:17" s="4" customFormat="1" ht="15" outlineLevel="1">
      <c r="A303" s="12">
        <v>237</v>
      </c>
      <c r="B303" s="1" t="s">
        <v>4</v>
      </c>
      <c r="C303" s="90">
        <f t="shared" si="116"/>
        <v>0</v>
      </c>
      <c r="D303" s="32">
        <v>0</v>
      </c>
      <c r="E303" s="32"/>
      <c r="F303" s="60"/>
      <c r="G303" s="60"/>
      <c r="H303" s="60"/>
      <c r="I303" s="60"/>
      <c r="J303" s="34"/>
      <c r="K303" s="34"/>
      <c r="L303" s="34"/>
      <c r="M303" s="34"/>
      <c r="N303" s="34"/>
      <c r="O303" s="34"/>
      <c r="P303" s="34"/>
      <c r="Q303" s="30"/>
    </row>
    <row r="304" spans="1:17" s="4" customFormat="1" ht="46.5" outlineLevel="1">
      <c r="A304" s="12">
        <v>238</v>
      </c>
      <c r="B304" s="1" t="s">
        <v>98</v>
      </c>
      <c r="C304" s="90">
        <f t="shared" si="116"/>
        <v>3483.31032</v>
      </c>
      <c r="D304" s="66">
        <f aca="true" t="shared" si="144" ref="D304:M304">SUM(D305:D308)</f>
        <v>211.4</v>
      </c>
      <c r="E304" s="66">
        <f t="shared" si="144"/>
        <v>0</v>
      </c>
      <c r="F304" s="67">
        <f t="shared" si="144"/>
        <v>0</v>
      </c>
      <c r="G304" s="67">
        <f t="shared" si="144"/>
        <v>253.60061000000002</v>
      </c>
      <c r="H304" s="67">
        <f t="shared" si="144"/>
        <v>398.80971</v>
      </c>
      <c r="I304" s="67">
        <f t="shared" si="144"/>
        <v>389.5</v>
      </c>
      <c r="J304" s="66">
        <f t="shared" si="144"/>
        <v>0</v>
      </c>
      <c r="K304" s="66">
        <f t="shared" si="144"/>
        <v>250</v>
      </c>
      <c r="L304" s="66">
        <f t="shared" si="144"/>
        <v>580</v>
      </c>
      <c r="M304" s="66">
        <f t="shared" si="144"/>
        <v>1400</v>
      </c>
      <c r="N304" s="66">
        <f>SUM(N305:N308)</f>
        <v>0</v>
      </c>
      <c r="O304" s="66">
        <f>SUM(O305:O308)</f>
        <v>0</v>
      </c>
      <c r="P304" s="66">
        <f>SUM(P305:P308)</f>
        <v>0</v>
      </c>
      <c r="Q304" s="26">
        <v>26</v>
      </c>
    </row>
    <row r="305" spans="1:17" s="4" customFormat="1" ht="15" outlineLevel="1">
      <c r="A305" s="12">
        <v>239</v>
      </c>
      <c r="B305" s="1" t="s">
        <v>3</v>
      </c>
      <c r="C305" s="90">
        <f aca="true" t="shared" si="145" ref="C305:C368">SUM(D305:P305)</f>
        <v>3483.31032</v>
      </c>
      <c r="D305" s="113">
        <v>211.4</v>
      </c>
      <c r="E305" s="113">
        <v>0</v>
      </c>
      <c r="F305" s="69"/>
      <c r="G305" s="69">
        <f>231.57425+22.02636</f>
        <v>253.60061000000002</v>
      </c>
      <c r="H305" s="69">
        <v>398.80971</v>
      </c>
      <c r="I305" s="69">
        <f>389.5</f>
        <v>389.5</v>
      </c>
      <c r="J305" s="68"/>
      <c r="K305" s="69">
        <v>250</v>
      </c>
      <c r="L305" s="69">
        <v>580</v>
      </c>
      <c r="M305" s="69">
        <v>1400</v>
      </c>
      <c r="N305" s="69"/>
      <c r="O305" s="69"/>
      <c r="P305" s="69"/>
      <c r="Q305" s="26"/>
    </row>
    <row r="306" spans="1:17" s="4" customFormat="1" ht="15" outlineLevel="1">
      <c r="A306" s="12">
        <v>240</v>
      </c>
      <c r="B306" s="1" t="s">
        <v>1</v>
      </c>
      <c r="C306" s="90">
        <f t="shared" si="145"/>
        <v>0</v>
      </c>
      <c r="D306" s="28"/>
      <c r="E306" s="28"/>
      <c r="F306" s="59"/>
      <c r="G306" s="59"/>
      <c r="H306" s="59"/>
      <c r="I306" s="59"/>
      <c r="J306" s="33"/>
      <c r="K306" s="33"/>
      <c r="L306" s="33"/>
      <c r="M306" s="33"/>
      <c r="N306" s="33"/>
      <c r="O306" s="33"/>
      <c r="P306" s="33"/>
      <c r="Q306" s="26"/>
    </row>
    <row r="307" spans="1:17" s="4" customFormat="1" ht="15" outlineLevel="1">
      <c r="A307" s="12">
        <v>241</v>
      </c>
      <c r="B307" s="1" t="s">
        <v>2</v>
      </c>
      <c r="C307" s="90">
        <f t="shared" si="145"/>
        <v>0</v>
      </c>
      <c r="D307" s="28"/>
      <c r="E307" s="28"/>
      <c r="F307" s="59"/>
      <c r="G307" s="59"/>
      <c r="H307" s="59"/>
      <c r="I307" s="59"/>
      <c r="J307" s="33"/>
      <c r="K307" s="33"/>
      <c r="L307" s="33"/>
      <c r="M307" s="33"/>
      <c r="N307" s="33"/>
      <c r="O307" s="33"/>
      <c r="P307" s="33"/>
      <c r="Q307" s="26"/>
    </row>
    <row r="308" spans="1:17" s="4" customFormat="1" ht="15" outlineLevel="1">
      <c r="A308" s="12">
        <v>242</v>
      </c>
      <c r="B308" s="29" t="s">
        <v>4</v>
      </c>
      <c r="C308" s="90">
        <f t="shared" si="145"/>
        <v>0</v>
      </c>
      <c r="D308" s="32"/>
      <c r="E308" s="32"/>
      <c r="F308" s="60"/>
      <c r="G308" s="60"/>
      <c r="H308" s="60"/>
      <c r="I308" s="60"/>
      <c r="J308" s="34"/>
      <c r="K308" s="34"/>
      <c r="L308" s="34"/>
      <c r="M308" s="34"/>
      <c r="N308" s="34"/>
      <c r="O308" s="34"/>
      <c r="P308" s="34"/>
      <c r="Q308" s="30"/>
    </row>
    <row r="309" spans="1:17" s="4" customFormat="1" ht="46.5" outlineLevel="1">
      <c r="A309" s="12">
        <v>243</v>
      </c>
      <c r="B309" s="1" t="s">
        <v>99</v>
      </c>
      <c r="C309" s="90">
        <f t="shared" si="145"/>
        <v>3999.41516</v>
      </c>
      <c r="D309" s="66">
        <f aca="true" t="shared" si="146" ref="D309:M309">SUM(D310:D313)</f>
        <v>68.2</v>
      </c>
      <c r="E309" s="66">
        <f t="shared" si="146"/>
        <v>104.6</v>
      </c>
      <c r="F309" s="67">
        <f t="shared" si="146"/>
        <v>104.6</v>
      </c>
      <c r="G309" s="67">
        <f t="shared" si="146"/>
        <v>424.22636</v>
      </c>
      <c r="H309" s="67">
        <f t="shared" si="146"/>
        <v>347.78880000000004</v>
      </c>
      <c r="I309" s="67">
        <f t="shared" si="146"/>
        <v>350</v>
      </c>
      <c r="J309" s="66">
        <f t="shared" si="146"/>
        <v>200</v>
      </c>
      <c r="K309" s="66">
        <f t="shared" si="146"/>
        <v>500</v>
      </c>
      <c r="L309" s="66">
        <f t="shared" si="146"/>
        <v>950</v>
      </c>
      <c r="M309" s="66">
        <f t="shared" si="146"/>
        <v>950</v>
      </c>
      <c r="N309" s="66">
        <f>SUM(N310:N313)</f>
        <v>0</v>
      </c>
      <c r="O309" s="66">
        <f>SUM(O310:O313)</f>
        <v>0</v>
      </c>
      <c r="P309" s="66">
        <f>SUM(P310:P313)</f>
        <v>0</v>
      </c>
      <c r="Q309" s="26">
        <v>27.28</v>
      </c>
    </row>
    <row r="310" spans="1:17" s="4" customFormat="1" ht="15" outlineLevel="1">
      <c r="A310" s="12">
        <v>244</v>
      </c>
      <c r="B310" s="1" t="s">
        <v>3</v>
      </c>
      <c r="C310" s="90">
        <f t="shared" si="145"/>
        <v>3999.41516</v>
      </c>
      <c r="D310" s="113">
        <v>68.2</v>
      </c>
      <c r="E310" s="113">
        <v>104.6</v>
      </c>
      <c r="F310" s="69">
        <v>104.6</v>
      </c>
      <c r="G310" s="69">
        <f>132+74.76636+168+29.96+19.5</f>
        <v>424.22636</v>
      </c>
      <c r="H310" s="69">
        <f>196.02+441.7688+148-148-290</f>
        <v>347.78880000000004</v>
      </c>
      <c r="I310" s="69">
        <f>350</f>
        <v>350</v>
      </c>
      <c r="J310" s="69">
        <v>200</v>
      </c>
      <c r="K310" s="69">
        <v>500</v>
      </c>
      <c r="L310" s="69">
        <v>950</v>
      </c>
      <c r="M310" s="69">
        <v>950</v>
      </c>
      <c r="N310" s="69"/>
      <c r="O310" s="69"/>
      <c r="P310" s="69"/>
      <c r="Q310" s="26"/>
    </row>
    <row r="311" spans="1:17" s="4" customFormat="1" ht="15" outlineLevel="1">
      <c r="A311" s="12">
        <v>245</v>
      </c>
      <c r="B311" s="1" t="s">
        <v>1</v>
      </c>
      <c r="C311" s="90">
        <f t="shared" si="145"/>
        <v>0</v>
      </c>
      <c r="D311" s="28"/>
      <c r="E311" s="28"/>
      <c r="F311" s="59"/>
      <c r="G311" s="59"/>
      <c r="H311" s="59"/>
      <c r="I311" s="59"/>
      <c r="J311" s="33"/>
      <c r="K311" s="33"/>
      <c r="L311" s="33"/>
      <c r="M311" s="33"/>
      <c r="N311" s="33"/>
      <c r="O311" s="33"/>
      <c r="P311" s="33"/>
      <c r="Q311" s="26"/>
    </row>
    <row r="312" spans="1:17" s="4" customFormat="1" ht="15" outlineLevel="1">
      <c r="A312" s="12">
        <v>246</v>
      </c>
      <c r="B312" s="1" t="s">
        <v>2</v>
      </c>
      <c r="C312" s="90">
        <f t="shared" si="145"/>
        <v>0</v>
      </c>
      <c r="D312" s="28"/>
      <c r="E312" s="28"/>
      <c r="F312" s="59"/>
      <c r="G312" s="59"/>
      <c r="H312" s="59"/>
      <c r="I312" s="59"/>
      <c r="J312" s="33"/>
      <c r="K312" s="33"/>
      <c r="L312" s="33"/>
      <c r="M312" s="33"/>
      <c r="N312" s="33"/>
      <c r="O312" s="33"/>
      <c r="P312" s="33"/>
      <c r="Q312" s="26"/>
    </row>
    <row r="313" spans="1:17" s="4" customFormat="1" ht="15" outlineLevel="1">
      <c r="A313" s="12">
        <v>247</v>
      </c>
      <c r="B313" s="29" t="s">
        <v>4</v>
      </c>
      <c r="C313" s="90">
        <f t="shared" si="145"/>
        <v>0</v>
      </c>
      <c r="D313" s="32"/>
      <c r="E313" s="32"/>
      <c r="F313" s="60"/>
      <c r="G313" s="60"/>
      <c r="H313" s="60"/>
      <c r="I313" s="60"/>
      <c r="J313" s="34"/>
      <c r="K313" s="34"/>
      <c r="L313" s="34"/>
      <c r="M313" s="34"/>
      <c r="N313" s="34"/>
      <c r="O313" s="34"/>
      <c r="P313" s="34"/>
      <c r="Q313" s="30"/>
    </row>
    <row r="314" spans="1:17" s="4" customFormat="1" ht="46.5" outlineLevel="1">
      <c r="A314" s="12">
        <v>248</v>
      </c>
      <c r="B314" s="1" t="s">
        <v>100</v>
      </c>
      <c r="C314" s="90">
        <f t="shared" si="145"/>
        <v>10141.121729999999</v>
      </c>
      <c r="D314" s="66">
        <f aca="true" t="shared" si="147" ref="D314:M314">SUM(D315:D318)</f>
        <v>622.8</v>
      </c>
      <c r="E314" s="66">
        <f t="shared" si="147"/>
        <v>513.8</v>
      </c>
      <c r="F314" s="67">
        <f t="shared" si="147"/>
        <v>567</v>
      </c>
      <c r="G314" s="67">
        <f t="shared" si="147"/>
        <v>1635.2539800000002</v>
      </c>
      <c r="H314" s="67">
        <f t="shared" si="147"/>
        <v>1184.92093</v>
      </c>
      <c r="I314" s="67">
        <f t="shared" si="147"/>
        <v>1018.7438199999999</v>
      </c>
      <c r="J314" s="66">
        <f t="shared" si="147"/>
        <v>282.76</v>
      </c>
      <c r="K314" s="66">
        <f t="shared" si="147"/>
        <v>1850.844</v>
      </c>
      <c r="L314" s="66">
        <f t="shared" si="147"/>
        <v>1582.636</v>
      </c>
      <c r="M314" s="66">
        <f t="shared" si="147"/>
        <v>882.363</v>
      </c>
      <c r="N314" s="66">
        <f>SUM(N315:N318)</f>
        <v>0</v>
      </c>
      <c r="O314" s="66">
        <f>SUM(O315:O318)</f>
        <v>0</v>
      </c>
      <c r="P314" s="66">
        <f>SUM(P315:P318)</f>
        <v>0</v>
      </c>
      <c r="Q314" s="26">
        <v>25</v>
      </c>
    </row>
    <row r="315" spans="1:17" s="4" customFormat="1" ht="15" outlineLevel="1">
      <c r="A315" s="12">
        <v>249</v>
      </c>
      <c r="B315" s="1" t="s">
        <v>3</v>
      </c>
      <c r="C315" s="90">
        <f t="shared" si="145"/>
        <v>10141.121729999999</v>
      </c>
      <c r="D315" s="113">
        <v>622.8</v>
      </c>
      <c r="E315" s="113">
        <v>513.8</v>
      </c>
      <c r="F315" s="69">
        <f>513.8+53.2</f>
        <v>567</v>
      </c>
      <c r="G315" s="69">
        <f>688+407.5+341.28612+11.18764+57.72+97+9.16022+23.4</f>
        <v>1635.2539800000002</v>
      </c>
      <c r="H315" s="69">
        <f>8.25+629.422+9.1+74.969+4.669+78.9+0.084+2.485+0.922+402.0232-0.0225-25.88057-0.0002</f>
        <v>1184.92093</v>
      </c>
      <c r="I315" s="69">
        <f>724.873+457.444-42.50095-96.07223-25</f>
        <v>1018.7438199999999</v>
      </c>
      <c r="J315" s="68">
        <v>282.76</v>
      </c>
      <c r="K315" s="68">
        <f>482.76+640.941-30+757.143</f>
        <v>1850.844</v>
      </c>
      <c r="L315" s="68">
        <f>882.636+700</f>
        <v>1582.636</v>
      </c>
      <c r="M315" s="68">
        <v>882.363</v>
      </c>
      <c r="N315" s="68"/>
      <c r="O315" s="68"/>
      <c r="P315" s="68"/>
      <c r="Q315" s="26"/>
    </row>
    <row r="316" spans="1:17" s="4" customFormat="1" ht="15" outlineLevel="1">
      <c r="A316" s="12">
        <v>250</v>
      </c>
      <c r="B316" s="1" t="s">
        <v>1</v>
      </c>
      <c r="C316" s="90">
        <f t="shared" si="145"/>
        <v>0</v>
      </c>
      <c r="D316" s="28"/>
      <c r="E316" s="28"/>
      <c r="F316" s="59"/>
      <c r="G316" s="59"/>
      <c r="H316" s="59"/>
      <c r="I316" s="59"/>
      <c r="J316" s="33"/>
      <c r="K316" s="33"/>
      <c r="L316" s="33"/>
      <c r="M316" s="33"/>
      <c r="N316" s="33"/>
      <c r="O316" s="33"/>
      <c r="P316" s="33"/>
      <c r="Q316" s="26"/>
    </row>
    <row r="317" spans="1:17" s="4" customFormat="1" ht="15" outlineLevel="1">
      <c r="A317" s="12">
        <v>251</v>
      </c>
      <c r="B317" s="1" t="s">
        <v>2</v>
      </c>
      <c r="C317" s="90">
        <f t="shared" si="145"/>
        <v>0</v>
      </c>
      <c r="D317" s="28"/>
      <c r="E317" s="28"/>
      <c r="F317" s="59"/>
      <c r="G317" s="59"/>
      <c r="H317" s="59"/>
      <c r="I317" s="59"/>
      <c r="J317" s="33"/>
      <c r="K317" s="33"/>
      <c r="L317" s="33"/>
      <c r="M317" s="33"/>
      <c r="N317" s="33"/>
      <c r="O317" s="33"/>
      <c r="P317" s="33"/>
      <c r="Q317" s="26"/>
    </row>
    <row r="318" spans="1:17" s="4" customFormat="1" ht="15" outlineLevel="1">
      <c r="A318" s="12">
        <v>252</v>
      </c>
      <c r="B318" s="29" t="s">
        <v>4</v>
      </c>
      <c r="C318" s="90">
        <f t="shared" si="145"/>
        <v>0</v>
      </c>
      <c r="D318" s="32"/>
      <c r="E318" s="32"/>
      <c r="F318" s="60"/>
      <c r="G318" s="60"/>
      <c r="H318" s="60"/>
      <c r="I318" s="60"/>
      <c r="J318" s="34"/>
      <c r="K318" s="34"/>
      <c r="L318" s="34"/>
      <c r="M318" s="34"/>
      <c r="N318" s="34"/>
      <c r="O318" s="34"/>
      <c r="P318" s="34"/>
      <c r="Q318" s="30"/>
    </row>
    <row r="319" spans="1:17" s="4" customFormat="1" ht="46.5" outlineLevel="1">
      <c r="A319" s="12">
        <v>253</v>
      </c>
      <c r="B319" s="1" t="s">
        <v>101</v>
      </c>
      <c r="C319" s="90">
        <f t="shared" si="145"/>
        <v>22836.25181</v>
      </c>
      <c r="D319" s="66">
        <f aca="true" t="shared" si="148" ref="D319:M319">SUM(D320:D323)</f>
        <v>931.9</v>
      </c>
      <c r="E319" s="66">
        <f t="shared" si="148"/>
        <v>103.3</v>
      </c>
      <c r="F319" s="67">
        <f t="shared" si="148"/>
        <v>103.3</v>
      </c>
      <c r="G319" s="67">
        <f t="shared" si="148"/>
        <v>120</v>
      </c>
      <c r="H319" s="67">
        <f t="shared" si="148"/>
        <v>1010.5699999999999</v>
      </c>
      <c r="I319" s="67">
        <f t="shared" si="148"/>
        <v>2596.04081</v>
      </c>
      <c r="J319" s="66">
        <f t="shared" si="148"/>
        <v>2653.84</v>
      </c>
      <c r="K319" s="66">
        <f t="shared" si="148"/>
        <v>3688.5319999999997</v>
      </c>
      <c r="L319" s="66">
        <f t="shared" si="148"/>
        <v>2785.61</v>
      </c>
      <c r="M319" s="66">
        <f t="shared" si="148"/>
        <v>8843.159</v>
      </c>
      <c r="N319" s="66">
        <f>SUM(N320:N323)</f>
        <v>0</v>
      </c>
      <c r="O319" s="66">
        <f>SUM(O320:O323)</f>
        <v>0</v>
      </c>
      <c r="P319" s="66">
        <f>SUM(P320:P323)</f>
        <v>0</v>
      </c>
      <c r="Q319" s="26"/>
    </row>
    <row r="320" spans="1:17" s="4" customFormat="1" ht="15" outlineLevel="1">
      <c r="A320" s="12">
        <v>254</v>
      </c>
      <c r="B320" s="1" t="s">
        <v>3</v>
      </c>
      <c r="C320" s="90">
        <f t="shared" si="145"/>
        <v>22836.25181</v>
      </c>
      <c r="D320" s="113">
        <v>931.9</v>
      </c>
      <c r="E320" s="113">
        <v>103.3</v>
      </c>
      <c r="F320" s="69">
        <v>103.3</v>
      </c>
      <c r="G320" s="69">
        <f>120</f>
        <v>120</v>
      </c>
      <c r="H320" s="69">
        <f>310.57+700</f>
        <v>1010.5699999999999</v>
      </c>
      <c r="I320" s="69">
        <f>38.801+3080.034-270.90048-251.89371</f>
        <v>2596.04081</v>
      </c>
      <c r="J320" s="68">
        <v>2653.84</v>
      </c>
      <c r="K320" s="68">
        <f>2925.49+763.042</f>
        <v>3688.5319999999997</v>
      </c>
      <c r="L320" s="68">
        <f>2214+71.61-80+580</f>
        <v>2785.61</v>
      </c>
      <c r="M320" s="68">
        <f>2785.61+5420.7+636.849</f>
        <v>8843.159</v>
      </c>
      <c r="N320" s="68"/>
      <c r="O320" s="68"/>
      <c r="P320" s="68"/>
      <c r="Q320" s="26"/>
    </row>
    <row r="321" spans="1:17" s="4" customFormat="1" ht="15" outlineLevel="1">
      <c r="A321" s="12">
        <v>255</v>
      </c>
      <c r="B321" s="1" t="s">
        <v>1</v>
      </c>
      <c r="C321" s="90">
        <f t="shared" si="145"/>
        <v>0</v>
      </c>
      <c r="D321" s="28"/>
      <c r="E321" s="28"/>
      <c r="F321" s="59"/>
      <c r="G321" s="59"/>
      <c r="H321" s="59"/>
      <c r="I321" s="59"/>
      <c r="J321" s="33"/>
      <c r="K321" s="33"/>
      <c r="L321" s="33"/>
      <c r="M321" s="33"/>
      <c r="N321" s="33"/>
      <c r="O321" s="33"/>
      <c r="P321" s="33"/>
      <c r="Q321" s="26"/>
    </row>
    <row r="322" spans="1:17" s="4" customFormat="1" ht="15" outlineLevel="1">
      <c r="A322" s="12">
        <v>256</v>
      </c>
      <c r="B322" s="1" t="s">
        <v>2</v>
      </c>
      <c r="C322" s="90">
        <f t="shared" si="145"/>
        <v>0</v>
      </c>
      <c r="D322" s="28"/>
      <c r="E322" s="28"/>
      <c r="F322" s="59"/>
      <c r="G322" s="59"/>
      <c r="H322" s="59"/>
      <c r="I322" s="59"/>
      <c r="J322" s="33"/>
      <c r="K322" s="33"/>
      <c r="L322" s="33"/>
      <c r="M322" s="33"/>
      <c r="N322" s="33"/>
      <c r="O322" s="33"/>
      <c r="P322" s="33"/>
      <c r="Q322" s="26"/>
    </row>
    <row r="323" spans="1:17" s="4" customFormat="1" ht="15" outlineLevel="1">
      <c r="A323" s="12">
        <v>257</v>
      </c>
      <c r="B323" s="29" t="s">
        <v>4</v>
      </c>
      <c r="C323" s="90">
        <f t="shared" si="145"/>
        <v>0</v>
      </c>
      <c r="D323" s="32"/>
      <c r="E323" s="32"/>
      <c r="F323" s="60"/>
      <c r="G323" s="60"/>
      <c r="H323" s="60"/>
      <c r="I323" s="60"/>
      <c r="J323" s="34"/>
      <c r="K323" s="34"/>
      <c r="L323" s="34"/>
      <c r="M323" s="34"/>
      <c r="N323" s="34"/>
      <c r="O323" s="34"/>
      <c r="P323" s="34"/>
      <c r="Q323" s="30"/>
    </row>
    <row r="324" spans="1:17" s="4" customFormat="1" ht="30.75" outlineLevel="1">
      <c r="A324" s="12">
        <v>258</v>
      </c>
      <c r="B324" s="1" t="s">
        <v>102</v>
      </c>
      <c r="C324" s="90">
        <f t="shared" si="145"/>
        <v>1028.44839</v>
      </c>
      <c r="D324" s="27">
        <f aca="true" t="shared" si="149" ref="D324:I324">SUM(D325:D328)</f>
        <v>0</v>
      </c>
      <c r="E324" s="66">
        <f t="shared" si="149"/>
        <v>32.1</v>
      </c>
      <c r="F324" s="67">
        <f t="shared" si="149"/>
        <v>127.5</v>
      </c>
      <c r="G324" s="67">
        <f t="shared" si="149"/>
        <v>536.50239</v>
      </c>
      <c r="H324" s="130">
        <f t="shared" si="149"/>
        <v>0</v>
      </c>
      <c r="I324" s="67">
        <f t="shared" si="149"/>
        <v>332.346</v>
      </c>
      <c r="J324" s="154">
        <f>SUM(J325:J328)</f>
        <v>0</v>
      </c>
      <c r="K324" s="154">
        <f>SUM(K325:K328)</f>
        <v>0</v>
      </c>
      <c r="L324" s="154"/>
      <c r="M324" s="154"/>
      <c r="N324" s="154"/>
      <c r="O324" s="154"/>
      <c r="P324" s="154"/>
      <c r="Q324" s="26"/>
    </row>
    <row r="325" spans="1:17" s="4" customFormat="1" ht="15" outlineLevel="1">
      <c r="A325" s="12">
        <v>259</v>
      </c>
      <c r="B325" s="1" t="s">
        <v>3</v>
      </c>
      <c r="C325" s="90">
        <f t="shared" si="145"/>
        <v>1028.44839</v>
      </c>
      <c r="D325" s="28">
        <v>0</v>
      </c>
      <c r="E325" s="113">
        <v>32.1</v>
      </c>
      <c r="F325" s="69">
        <v>127.5</v>
      </c>
      <c r="G325" s="69">
        <f>536.50239</f>
        <v>536.50239</v>
      </c>
      <c r="H325" s="59"/>
      <c r="I325" s="69">
        <f>267.446+64.9</f>
        <v>332.346</v>
      </c>
      <c r="J325" s="33"/>
      <c r="K325" s="33"/>
      <c r="L325" s="33"/>
      <c r="M325" s="33"/>
      <c r="N325" s="33"/>
      <c r="O325" s="33"/>
      <c r="P325" s="33"/>
      <c r="Q325" s="26"/>
    </row>
    <row r="326" spans="1:17" s="4" customFormat="1" ht="15" outlineLevel="1">
      <c r="A326" s="12">
        <v>260</v>
      </c>
      <c r="B326" s="1" t="s">
        <v>1</v>
      </c>
      <c r="C326" s="90">
        <f t="shared" si="145"/>
        <v>0</v>
      </c>
      <c r="D326" s="28"/>
      <c r="E326" s="28"/>
      <c r="F326" s="59"/>
      <c r="G326" s="59"/>
      <c r="H326" s="59"/>
      <c r="I326" s="59"/>
      <c r="J326" s="33"/>
      <c r="K326" s="33"/>
      <c r="L326" s="33"/>
      <c r="M326" s="33"/>
      <c r="N326" s="33"/>
      <c r="O326" s="33"/>
      <c r="P326" s="33"/>
      <c r="Q326" s="26"/>
    </row>
    <row r="327" spans="1:17" s="4" customFormat="1" ht="15" outlineLevel="1">
      <c r="A327" s="12">
        <v>261</v>
      </c>
      <c r="B327" s="1" t="s">
        <v>2</v>
      </c>
      <c r="C327" s="90">
        <f t="shared" si="145"/>
        <v>0</v>
      </c>
      <c r="D327" s="28"/>
      <c r="E327" s="28"/>
      <c r="F327" s="59"/>
      <c r="G327" s="59"/>
      <c r="H327" s="59"/>
      <c r="I327" s="59"/>
      <c r="J327" s="33"/>
      <c r="K327" s="33"/>
      <c r="L327" s="33"/>
      <c r="M327" s="33"/>
      <c r="N327" s="33"/>
      <c r="O327" s="33"/>
      <c r="P327" s="33"/>
      <c r="Q327" s="26"/>
    </row>
    <row r="328" spans="1:17" s="4" customFormat="1" ht="15" outlineLevel="1">
      <c r="A328" s="12">
        <v>262</v>
      </c>
      <c r="B328" s="29" t="s">
        <v>4</v>
      </c>
      <c r="C328" s="90">
        <f t="shared" si="145"/>
        <v>0</v>
      </c>
      <c r="D328" s="32"/>
      <c r="E328" s="32"/>
      <c r="F328" s="60"/>
      <c r="G328" s="60"/>
      <c r="H328" s="60"/>
      <c r="I328" s="60"/>
      <c r="J328" s="34"/>
      <c r="K328" s="34"/>
      <c r="L328" s="34"/>
      <c r="M328" s="34"/>
      <c r="N328" s="34"/>
      <c r="O328" s="34"/>
      <c r="P328" s="34"/>
      <c r="Q328" s="30"/>
    </row>
    <row r="329" spans="1:17" s="4" customFormat="1" ht="30.75" outlineLevel="1">
      <c r="A329" s="12">
        <v>263</v>
      </c>
      <c r="B329" s="1" t="s">
        <v>103</v>
      </c>
      <c r="C329" s="90">
        <f t="shared" si="145"/>
        <v>0</v>
      </c>
      <c r="D329" s="27">
        <f aca="true" t="shared" si="150" ref="D329:I329">SUM(D330:D333)</f>
        <v>0</v>
      </c>
      <c r="E329" s="27">
        <f t="shared" si="150"/>
        <v>0</v>
      </c>
      <c r="F329" s="130">
        <f t="shared" si="150"/>
        <v>0</v>
      </c>
      <c r="G329" s="130">
        <f t="shared" si="150"/>
        <v>0</v>
      </c>
      <c r="H329" s="130">
        <f t="shared" si="150"/>
        <v>0</v>
      </c>
      <c r="I329" s="130">
        <f t="shared" si="150"/>
        <v>0</v>
      </c>
      <c r="J329" s="154">
        <f>SUM(J330:J333)</f>
        <v>0</v>
      </c>
      <c r="K329" s="154">
        <f>SUM(K330:K333)</f>
        <v>0</v>
      </c>
      <c r="L329" s="154"/>
      <c r="M329" s="154"/>
      <c r="N329" s="154"/>
      <c r="O329" s="154"/>
      <c r="P329" s="154"/>
      <c r="Q329" s="26">
        <v>33</v>
      </c>
    </row>
    <row r="330" spans="1:17" s="4" customFormat="1" ht="15" outlineLevel="1">
      <c r="A330" s="12">
        <v>264</v>
      </c>
      <c r="B330" s="1" t="s">
        <v>3</v>
      </c>
      <c r="C330" s="90">
        <f t="shared" si="145"/>
        <v>0</v>
      </c>
      <c r="D330" s="28"/>
      <c r="E330" s="28"/>
      <c r="F330" s="59">
        <f>919.3-273.7-645.6</f>
        <v>0</v>
      </c>
      <c r="G330" s="59"/>
      <c r="H330" s="59"/>
      <c r="I330" s="59"/>
      <c r="J330" s="33"/>
      <c r="K330" s="33"/>
      <c r="L330" s="33"/>
      <c r="M330" s="33"/>
      <c r="N330" s="33"/>
      <c r="O330" s="33"/>
      <c r="P330" s="33"/>
      <c r="Q330" s="26" t="s">
        <v>67</v>
      </c>
    </row>
    <row r="331" spans="1:17" s="4" customFormat="1" ht="15" outlineLevel="1">
      <c r="A331" s="12">
        <v>265</v>
      </c>
      <c r="B331" s="1" t="s">
        <v>1</v>
      </c>
      <c r="C331" s="90">
        <f t="shared" si="145"/>
        <v>0</v>
      </c>
      <c r="D331" s="28"/>
      <c r="E331" s="28"/>
      <c r="F331" s="59"/>
      <c r="G331" s="59"/>
      <c r="H331" s="59"/>
      <c r="I331" s="59"/>
      <c r="J331" s="33"/>
      <c r="K331" s="33"/>
      <c r="L331" s="33"/>
      <c r="M331" s="33"/>
      <c r="N331" s="33"/>
      <c r="O331" s="33"/>
      <c r="P331" s="33"/>
      <c r="Q331" s="26" t="s">
        <v>67</v>
      </c>
    </row>
    <row r="332" spans="1:17" s="4" customFormat="1" ht="15" outlineLevel="1">
      <c r="A332" s="12">
        <v>266</v>
      </c>
      <c r="B332" s="1" t="s">
        <v>2</v>
      </c>
      <c r="C332" s="90">
        <f t="shared" si="145"/>
        <v>0</v>
      </c>
      <c r="D332" s="28"/>
      <c r="E332" s="28"/>
      <c r="F332" s="59"/>
      <c r="G332" s="59"/>
      <c r="H332" s="59"/>
      <c r="I332" s="59"/>
      <c r="J332" s="33"/>
      <c r="K332" s="33"/>
      <c r="L332" s="33"/>
      <c r="M332" s="33"/>
      <c r="N332" s="33"/>
      <c r="O332" s="33"/>
      <c r="P332" s="33"/>
      <c r="Q332" s="26" t="s">
        <v>67</v>
      </c>
    </row>
    <row r="333" spans="1:17" s="4" customFormat="1" ht="15" outlineLevel="1">
      <c r="A333" s="12">
        <v>267</v>
      </c>
      <c r="B333" s="29" t="s">
        <v>4</v>
      </c>
      <c r="C333" s="90">
        <f t="shared" si="145"/>
        <v>0</v>
      </c>
      <c r="D333" s="32"/>
      <c r="E333" s="28"/>
      <c r="F333" s="59">
        <f>17466.8-5199.9-12266.9</f>
        <v>0</v>
      </c>
      <c r="G333" s="59"/>
      <c r="H333" s="59"/>
      <c r="I333" s="59"/>
      <c r="J333" s="33"/>
      <c r="K333" s="33"/>
      <c r="L333" s="34"/>
      <c r="M333" s="34"/>
      <c r="N333" s="34"/>
      <c r="O333" s="34"/>
      <c r="P333" s="34"/>
      <c r="Q333" s="30" t="s">
        <v>67</v>
      </c>
    </row>
    <row r="334" spans="1:17" s="4" customFormat="1" ht="30.75" outlineLevel="1">
      <c r="A334" s="12">
        <v>268</v>
      </c>
      <c r="B334" s="29" t="s">
        <v>131</v>
      </c>
      <c r="C334" s="90">
        <f t="shared" si="145"/>
        <v>913.808</v>
      </c>
      <c r="D334" s="27">
        <f aca="true" t="shared" si="151" ref="D334:I334">SUM(D335:D338)</f>
        <v>0</v>
      </c>
      <c r="E334" s="27">
        <f t="shared" si="151"/>
        <v>0</v>
      </c>
      <c r="F334" s="67">
        <f t="shared" si="151"/>
        <v>91</v>
      </c>
      <c r="G334" s="67">
        <f t="shared" si="151"/>
        <v>395</v>
      </c>
      <c r="H334" s="130">
        <f t="shared" si="151"/>
        <v>0</v>
      </c>
      <c r="I334" s="130">
        <f t="shared" si="151"/>
        <v>427.808</v>
      </c>
      <c r="J334" s="154">
        <f>SUM(J335:J338)</f>
        <v>0</v>
      </c>
      <c r="K334" s="154">
        <f>SUM(K335:K338)</f>
        <v>0</v>
      </c>
      <c r="L334" s="224"/>
      <c r="M334" s="224"/>
      <c r="N334" s="224"/>
      <c r="O334" s="224"/>
      <c r="P334" s="224"/>
      <c r="Q334" s="30"/>
    </row>
    <row r="335" spans="1:17" s="4" customFormat="1" ht="15" outlineLevel="1">
      <c r="A335" s="12">
        <v>269</v>
      </c>
      <c r="B335" s="1" t="s">
        <v>3</v>
      </c>
      <c r="C335" s="90">
        <f t="shared" si="145"/>
        <v>913.808</v>
      </c>
      <c r="D335" s="32"/>
      <c r="E335" s="28"/>
      <c r="F335" s="69">
        <v>91</v>
      </c>
      <c r="G335" s="69">
        <f>395</f>
        <v>395</v>
      </c>
      <c r="H335" s="59"/>
      <c r="I335" s="59">
        <f>427.808</f>
        <v>427.808</v>
      </c>
      <c r="J335" s="33"/>
      <c r="K335" s="33"/>
      <c r="L335" s="34"/>
      <c r="M335" s="34"/>
      <c r="N335" s="34"/>
      <c r="O335" s="34"/>
      <c r="P335" s="34"/>
      <c r="Q335" s="30"/>
    </row>
    <row r="336" spans="1:17" s="4" customFormat="1" ht="15" outlineLevel="1">
      <c r="A336" s="12">
        <v>270</v>
      </c>
      <c r="B336" s="1" t="s">
        <v>1</v>
      </c>
      <c r="C336" s="90">
        <f t="shared" si="145"/>
        <v>0</v>
      </c>
      <c r="D336" s="32"/>
      <c r="E336" s="28"/>
      <c r="F336" s="59"/>
      <c r="G336" s="59"/>
      <c r="H336" s="59"/>
      <c r="I336" s="59"/>
      <c r="J336" s="33"/>
      <c r="K336" s="33"/>
      <c r="L336" s="34"/>
      <c r="M336" s="34"/>
      <c r="N336" s="34"/>
      <c r="O336" s="34"/>
      <c r="P336" s="34"/>
      <c r="Q336" s="30"/>
    </row>
    <row r="337" spans="1:17" s="4" customFormat="1" ht="15" outlineLevel="1">
      <c r="A337" s="12">
        <v>271</v>
      </c>
      <c r="B337" s="1" t="s">
        <v>2</v>
      </c>
      <c r="C337" s="90">
        <f t="shared" si="145"/>
        <v>0</v>
      </c>
      <c r="D337" s="32"/>
      <c r="E337" s="28"/>
      <c r="F337" s="59"/>
      <c r="G337" s="59"/>
      <c r="H337" s="59"/>
      <c r="I337" s="59"/>
      <c r="J337" s="33"/>
      <c r="K337" s="33"/>
      <c r="L337" s="34"/>
      <c r="M337" s="34"/>
      <c r="N337" s="34"/>
      <c r="O337" s="34"/>
      <c r="P337" s="34"/>
      <c r="Q337" s="30"/>
    </row>
    <row r="338" spans="1:17" s="4" customFormat="1" ht="15" outlineLevel="1">
      <c r="A338" s="12">
        <v>272</v>
      </c>
      <c r="B338" s="29" t="s">
        <v>4</v>
      </c>
      <c r="C338" s="90">
        <f t="shared" si="145"/>
        <v>0</v>
      </c>
      <c r="D338" s="32"/>
      <c r="E338" s="28"/>
      <c r="F338" s="59"/>
      <c r="G338" s="59"/>
      <c r="H338" s="59"/>
      <c r="I338" s="59"/>
      <c r="J338" s="33"/>
      <c r="K338" s="33"/>
      <c r="L338" s="34"/>
      <c r="M338" s="34"/>
      <c r="N338" s="34"/>
      <c r="O338" s="34"/>
      <c r="P338" s="34"/>
      <c r="Q338" s="30"/>
    </row>
    <row r="339" spans="1:17" s="4" customFormat="1" ht="62.25" outlineLevel="1">
      <c r="A339" s="12">
        <v>273</v>
      </c>
      <c r="B339" s="29" t="s">
        <v>365</v>
      </c>
      <c r="C339" s="90">
        <f t="shared" si="145"/>
        <v>2786.2009900000003</v>
      </c>
      <c r="D339" s="27">
        <f aca="true" t="shared" si="152" ref="D339:M339">SUM(D340:D343)</f>
        <v>0</v>
      </c>
      <c r="E339" s="27">
        <f t="shared" si="152"/>
        <v>0</v>
      </c>
      <c r="F339" s="67">
        <f t="shared" si="152"/>
        <v>111.913</v>
      </c>
      <c r="G339" s="67">
        <f t="shared" si="152"/>
        <v>601.52363</v>
      </c>
      <c r="H339" s="67">
        <f t="shared" si="152"/>
        <v>852.84365</v>
      </c>
      <c r="I339" s="67">
        <f t="shared" si="152"/>
        <v>572.91871</v>
      </c>
      <c r="J339" s="66">
        <f t="shared" si="152"/>
        <v>91.751</v>
      </c>
      <c r="K339" s="66">
        <f t="shared" si="152"/>
        <v>171.751</v>
      </c>
      <c r="L339" s="66">
        <f t="shared" si="152"/>
        <v>191.75</v>
      </c>
      <c r="M339" s="66">
        <f t="shared" si="152"/>
        <v>191.75</v>
      </c>
      <c r="N339" s="66">
        <f>SUM(N340:N343)</f>
        <v>0</v>
      </c>
      <c r="O339" s="66">
        <f>SUM(O340:O343)</f>
        <v>0</v>
      </c>
      <c r="P339" s="66">
        <f>SUM(P340:P343)</f>
        <v>0</v>
      </c>
      <c r="Q339" s="30"/>
    </row>
    <row r="340" spans="1:17" s="4" customFormat="1" ht="15" outlineLevel="1">
      <c r="A340" s="12">
        <v>274</v>
      </c>
      <c r="B340" s="1" t="s">
        <v>3</v>
      </c>
      <c r="C340" s="90">
        <f t="shared" si="145"/>
        <v>2786.2009900000003</v>
      </c>
      <c r="D340" s="32"/>
      <c r="E340" s="28"/>
      <c r="F340" s="69">
        <v>111.913</v>
      </c>
      <c r="G340" s="69">
        <f>500.91363+74.9+25.71</f>
        <v>601.52363</v>
      </c>
      <c r="H340" s="69">
        <f>450.005+91.012+12.25+19.514+60+6.10794+700-34.59146-451.45383</f>
        <v>852.84365</v>
      </c>
      <c r="I340" s="69">
        <f>40.962+91.751+175.65+289.934-25-0.37829</f>
        <v>572.91871</v>
      </c>
      <c r="J340" s="69">
        <f>91.751</f>
        <v>91.751</v>
      </c>
      <c r="K340" s="69">
        <f>91.751+80</f>
        <v>171.751</v>
      </c>
      <c r="L340" s="225">
        <v>191.75</v>
      </c>
      <c r="M340" s="225">
        <v>191.75</v>
      </c>
      <c r="N340" s="225"/>
      <c r="O340" s="225"/>
      <c r="P340" s="225"/>
      <c r="Q340" s="30"/>
    </row>
    <row r="341" spans="1:17" s="4" customFormat="1" ht="15" outlineLevel="1">
      <c r="A341" s="12">
        <v>275</v>
      </c>
      <c r="B341" s="1" t="s">
        <v>1</v>
      </c>
      <c r="C341" s="90">
        <f t="shared" si="145"/>
        <v>0</v>
      </c>
      <c r="D341" s="32"/>
      <c r="E341" s="28"/>
      <c r="F341" s="59"/>
      <c r="G341" s="59"/>
      <c r="H341" s="59"/>
      <c r="I341" s="59"/>
      <c r="J341" s="34"/>
      <c r="K341" s="33"/>
      <c r="L341" s="34"/>
      <c r="M341" s="34"/>
      <c r="N341" s="34"/>
      <c r="O341" s="34"/>
      <c r="P341" s="34"/>
      <c r="Q341" s="30"/>
    </row>
    <row r="342" spans="1:17" s="4" customFormat="1" ht="15" outlineLevel="1">
      <c r="A342" s="12">
        <v>276</v>
      </c>
      <c r="B342" s="1" t="s">
        <v>2</v>
      </c>
      <c r="C342" s="90">
        <f t="shared" si="145"/>
        <v>0</v>
      </c>
      <c r="D342" s="32"/>
      <c r="E342" s="28"/>
      <c r="F342" s="59"/>
      <c r="G342" s="59"/>
      <c r="H342" s="59"/>
      <c r="I342" s="59"/>
      <c r="J342" s="34"/>
      <c r="K342" s="33"/>
      <c r="L342" s="34"/>
      <c r="M342" s="34"/>
      <c r="N342" s="34"/>
      <c r="O342" s="34"/>
      <c r="P342" s="34"/>
      <c r="Q342" s="30"/>
    </row>
    <row r="343" spans="1:17" s="4" customFormat="1" ht="15" outlineLevel="1">
      <c r="A343" s="12">
        <v>277</v>
      </c>
      <c r="B343" s="1" t="s">
        <v>4</v>
      </c>
      <c r="C343" s="90">
        <f t="shared" si="145"/>
        <v>0</v>
      </c>
      <c r="D343" s="28"/>
      <c r="E343" s="28"/>
      <c r="F343" s="59"/>
      <c r="G343" s="59"/>
      <c r="H343" s="59"/>
      <c r="I343" s="59"/>
      <c r="J343" s="33"/>
      <c r="K343" s="33"/>
      <c r="L343" s="33"/>
      <c r="M343" s="33"/>
      <c r="N343" s="33"/>
      <c r="O343" s="33"/>
      <c r="P343" s="33"/>
      <c r="Q343" s="26"/>
    </row>
    <row r="344" spans="1:17" s="4" customFormat="1" ht="15" outlineLevel="1">
      <c r="A344" s="12" t="s">
        <v>174</v>
      </c>
      <c r="B344" s="292" t="s">
        <v>202</v>
      </c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</row>
    <row r="345" spans="1:17" s="4" customFormat="1" ht="15" outlineLevel="1">
      <c r="A345" s="12" t="s">
        <v>175</v>
      </c>
      <c r="B345" s="1" t="s">
        <v>203</v>
      </c>
      <c r="C345" s="90">
        <f t="shared" si="145"/>
        <v>0</v>
      </c>
      <c r="D345" s="90">
        <f aca="true" t="shared" si="153" ref="D345:J345">SUM(D346:D349)</f>
        <v>0</v>
      </c>
      <c r="E345" s="90">
        <f t="shared" si="153"/>
        <v>0</v>
      </c>
      <c r="F345" s="91">
        <f t="shared" si="153"/>
        <v>0</v>
      </c>
      <c r="G345" s="91">
        <f t="shared" si="153"/>
        <v>0</v>
      </c>
      <c r="H345" s="91">
        <f t="shared" si="153"/>
        <v>0</v>
      </c>
      <c r="I345" s="91">
        <f t="shared" si="153"/>
        <v>0</v>
      </c>
      <c r="J345" s="90">
        <f t="shared" si="153"/>
        <v>0</v>
      </c>
      <c r="K345" s="90">
        <f aca="true" t="shared" si="154" ref="K345:P345">SUM(K346:K349)</f>
        <v>0</v>
      </c>
      <c r="L345" s="90">
        <f t="shared" si="154"/>
        <v>0</v>
      </c>
      <c r="M345" s="90">
        <f t="shared" si="154"/>
        <v>0</v>
      </c>
      <c r="N345" s="90">
        <f t="shared" si="154"/>
        <v>0</v>
      </c>
      <c r="O345" s="90">
        <f t="shared" si="154"/>
        <v>0</v>
      </c>
      <c r="P345" s="90">
        <f t="shared" si="154"/>
        <v>0</v>
      </c>
      <c r="Q345" s="26" t="s">
        <v>67</v>
      </c>
    </row>
    <row r="346" spans="1:17" s="4" customFormat="1" ht="15" outlineLevel="1">
      <c r="A346" s="12" t="s">
        <v>176</v>
      </c>
      <c r="B346" s="1" t="s">
        <v>3</v>
      </c>
      <c r="C346" s="90">
        <f t="shared" si="145"/>
        <v>0</v>
      </c>
      <c r="D346" s="99">
        <f aca="true" t="shared" si="155" ref="D346:I346">SUM(D352,D368)</f>
        <v>0</v>
      </c>
      <c r="E346" s="99">
        <f t="shared" si="155"/>
        <v>0</v>
      </c>
      <c r="F346" s="93">
        <f t="shared" si="155"/>
        <v>0</v>
      </c>
      <c r="G346" s="93">
        <f t="shared" si="155"/>
        <v>0</v>
      </c>
      <c r="H346" s="93">
        <f t="shared" si="155"/>
        <v>0</v>
      </c>
      <c r="I346" s="93">
        <f t="shared" si="155"/>
        <v>0</v>
      </c>
      <c r="J346" s="92">
        <f aca="true" t="shared" si="156" ref="J346:K349">SUM(J352,J368)</f>
        <v>0</v>
      </c>
      <c r="K346" s="92">
        <f t="shared" si="156"/>
        <v>0</v>
      </c>
      <c r="L346" s="92">
        <f aca="true" t="shared" si="157" ref="L346:M349">SUM(L352,L368)</f>
        <v>0</v>
      </c>
      <c r="M346" s="92">
        <f t="shared" si="157"/>
        <v>0</v>
      </c>
      <c r="N346" s="92">
        <f aca="true" t="shared" si="158" ref="N346:P349">SUM(N352,N368)</f>
        <v>0</v>
      </c>
      <c r="O346" s="92">
        <f t="shared" si="158"/>
        <v>0</v>
      </c>
      <c r="P346" s="92">
        <f t="shared" si="158"/>
        <v>0</v>
      </c>
      <c r="Q346" s="26" t="s">
        <v>67</v>
      </c>
    </row>
    <row r="347" spans="1:17" s="4" customFormat="1" ht="15" outlineLevel="1">
      <c r="A347" s="12" t="s">
        <v>177</v>
      </c>
      <c r="B347" s="1" t="s">
        <v>1</v>
      </c>
      <c r="C347" s="90">
        <f t="shared" si="145"/>
        <v>0</v>
      </c>
      <c r="D347" s="99">
        <f aca="true" t="shared" si="159" ref="D347:I347">SUM(D353,D369)</f>
        <v>0</v>
      </c>
      <c r="E347" s="99">
        <f t="shared" si="159"/>
        <v>0</v>
      </c>
      <c r="F347" s="93">
        <f t="shared" si="159"/>
        <v>0</v>
      </c>
      <c r="G347" s="93">
        <f t="shared" si="159"/>
        <v>0</v>
      </c>
      <c r="H347" s="93">
        <f t="shared" si="159"/>
        <v>0</v>
      </c>
      <c r="I347" s="93">
        <f t="shared" si="159"/>
        <v>0</v>
      </c>
      <c r="J347" s="92">
        <f t="shared" si="156"/>
        <v>0</v>
      </c>
      <c r="K347" s="92">
        <f t="shared" si="156"/>
        <v>0</v>
      </c>
      <c r="L347" s="92">
        <f t="shared" si="157"/>
        <v>0</v>
      </c>
      <c r="M347" s="92">
        <f t="shared" si="157"/>
        <v>0</v>
      </c>
      <c r="N347" s="92">
        <f t="shared" si="158"/>
        <v>0</v>
      </c>
      <c r="O347" s="92">
        <f t="shared" si="158"/>
        <v>0</v>
      </c>
      <c r="P347" s="92">
        <f t="shared" si="158"/>
        <v>0</v>
      </c>
      <c r="Q347" s="26" t="s">
        <v>67</v>
      </c>
    </row>
    <row r="348" spans="1:17" s="4" customFormat="1" ht="15" outlineLevel="1">
      <c r="A348" s="12" t="s">
        <v>178</v>
      </c>
      <c r="B348" s="1" t="s">
        <v>2</v>
      </c>
      <c r="C348" s="90">
        <f t="shared" si="145"/>
        <v>0</v>
      </c>
      <c r="D348" s="99">
        <f aca="true" t="shared" si="160" ref="D348:I348">SUM(D354,D370)</f>
        <v>0</v>
      </c>
      <c r="E348" s="99">
        <f t="shared" si="160"/>
        <v>0</v>
      </c>
      <c r="F348" s="93">
        <f t="shared" si="160"/>
        <v>0</v>
      </c>
      <c r="G348" s="93">
        <f t="shared" si="160"/>
        <v>0</v>
      </c>
      <c r="H348" s="93">
        <f t="shared" si="160"/>
        <v>0</v>
      </c>
      <c r="I348" s="93">
        <f t="shared" si="160"/>
        <v>0</v>
      </c>
      <c r="J348" s="92">
        <f t="shared" si="156"/>
        <v>0</v>
      </c>
      <c r="K348" s="92">
        <f t="shared" si="156"/>
        <v>0</v>
      </c>
      <c r="L348" s="92">
        <f t="shared" si="157"/>
        <v>0</v>
      </c>
      <c r="M348" s="92">
        <f t="shared" si="157"/>
        <v>0</v>
      </c>
      <c r="N348" s="92">
        <f t="shared" si="158"/>
        <v>0</v>
      </c>
      <c r="O348" s="92">
        <f t="shared" si="158"/>
        <v>0</v>
      </c>
      <c r="P348" s="92">
        <f t="shared" si="158"/>
        <v>0</v>
      </c>
      <c r="Q348" s="26" t="s">
        <v>67</v>
      </c>
    </row>
    <row r="349" spans="1:17" s="4" customFormat="1" ht="15" outlineLevel="1">
      <c r="A349" s="12" t="s">
        <v>179</v>
      </c>
      <c r="B349" s="29" t="s">
        <v>4</v>
      </c>
      <c r="C349" s="90">
        <f t="shared" si="145"/>
        <v>0</v>
      </c>
      <c r="D349" s="99">
        <f aca="true" t="shared" si="161" ref="D349:I349">SUM(D355,D371)</f>
        <v>0</v>
      </c>
      <c r="E349" s="99">
        <f t="shared" si="161"/>
        <v>0</v>
      </c>
      <c r="F349" s="93">
        <f t="shared" si="161"/>
        <v>0</v>
      </c>
      <c r="G349" s="93">
        <f t="shared" si="161"/>
        <v>0</v>
      </c>
      <c r="H349" s="93">
        <f t="shared" si="161"/>
        <v>0</v>
      </c>
      <c r="I349" s="93">
        <f t="shared" si="161"/>
        <v>0</v>
      </c>
      <c r="J349" s="92">
        <f t="shared" si="156"/>
        <v>0</v>
      </c>
      <c r="K349" s="92">
        <f t="shared" si="156"/>
        <v>0</v>
      </c>
      <c r="L349" s="92">
        <f t="shared" si="157"/>
        <v>0</v>
      </c>
      <c r="M349" s="92">
        <f t="shared" si="157"/>
        <v>0</v>
      </c>
      <c r="N349" s="92">
        <f t="shared" si="158"/>
        <v>0</v>
      </c>
      <c r="O349" s="92">
        <f t="shared" si="158"/>
        <v>0</v>
      </c>
      <c r="P349" s="92">
        <f t="shared" si="158"/>
        <v>0</v>
      </c>
      <c r="Q349" s="30" t="s">
        <v>67</v>
      </c>
    </row>
    <row r="350" spans="1:17" s="4" customFormat="1" ht="15" outlineLevel="1">
      <c r="A350" s="12" t="s">
        <v>180</v>
      </c>
      <c r="B350" s="278" t="s">
        <v>68</v>
      </c>
      <c r="C350" s="279"/>
      <c r="D350" s="279"/>
      <c r="E350" s="279"/>
      <c r="F350" s="279"/>
      <c r="G350" s="279"/>
      <c r="H350" s="279"/>
      <c r="I350" s="279"/>
      <c r="J350" s="279"/>
      <c r="K350" s="279"/>
      <c r="L350" s="279"/>
      <c r="M350" s="279"/>
      <c r="N350" s="279"/>
      <c r="O350" s="279"/>
      <c r="P350" s="279"/>
      <c r="Q350" s="299"/>
    </row>
    <row r="351" spans="1:17" s="4" customFormat="1" ht="30.75" outlineLevel="1">
      <c r="A351" s="12" t="s">
        <v>181</v>
      </c>
      <c r="B351" s="1" t="s">
        <v>69</v>
      </c>
      <c r="C351" s="90">
        <f t="shared" si="145"/>
        <v>0</v>
      </c>
      <c r="D351" s="90">
        <f aca="true" t="shared" si="162" ref="D351:I351">SUM(D352:D355)</f>
        <v>0</v>
      </c>
      <c r="E351" s="90">
        <f t="shared" si="162"/>
        <v>0</v>
      </c>
      <c r="F351" s="91">
        <f t="shared" si="162"/>
        <v>0</v>
      </c>
      <c r="G351" s="91">
        <f t="shared" si="162"/>
        <v>0</v>
      </c>
      <c r="H351" s="91">
        <f t="shared" si="162"/>
        <v>0</v>
      </c>
      <c r="I351" s="91">
        <f t="shared" si="162"/>
        <v>0</v>
      </c>
      <c r="J351" s="90">
        <f aca="true" t="shared" si="163" ref="J351:P351">SUM(J352:J355)</f>
        <v>0</v>
      </c>
      <c r="K351" s="90">
        <f t="shared" si="163"/>
        <v>0</v>
      </c>
      <c r="L351" s="90">
        <f t="shared" si="163"/>
        <v>0</v>
      </c>
      <c r="M351" s="90">
        <f t="shared" si="163"/>
        <v>0</v>
      </c>
      <c r="N351" s="90">
        <f t="shared" si="163"/>
        <v>0</v>
      </c>
      <c r="O351" s="90">
        <f t="shared" si="163"/>
        <v>0</v>
      </c>
      <c r="P351" s="90">
        <f t="shared" si="163"/>
        <v>0</v>
      </c>
      <c r="Q351" s="26" t="s">
        <v>67</v>
      </c>
    </row>
    <row r="352" spans="1:17" s="4" customFormat="1" ht="15" outlineLevel="1">
      <c r="A352" s="12" t="s">
        <v>182</v>
      </c>
      <c r="B352" s="1" t="s">
        <v>3</v>
      </c>
      <c r="C352" s="90">
        <f t="shared" si="145"/>
        <v>0</v>
      </c>
      <c r="D352" s="99">
        <f aca="true" t="shared" si="164" ref="D352:H355">SUM(D357,D362)</f>
        <v>0</v>
      </c>
      <c r="E352" s="99">
        <f t="shared" si="164"/>
        <v>0</v>
      </c>
      <c r="F352" s="92">
        <f t="shared" si="164"/>
        <v>0</v>
      </c>
      <c r="G352" s="93">
        <f t="shared" si="164"/>
        <v>0</v>
      </c>
      <c r="H352" s="93">
        <f t="shared" si="164"/>
        <v>0</v>
      </c>
      <c r="I352" s="93">
        <f aca="true" t="shared" si="165" ref="I352:J355">SUM(I357)</f>
        <v>0</v>
      </c>
      <c r="J352" s="92">
        <f t="shared" si="165"/>
        <v>0</v>
      </c>
      <c r="K352" s="92">
        <f aca="true" t="shared" si="166" ref="K352:M355">SUM(K357)</f>
        <v>0</v>
      </c>
      <c r="L352" s="92">
        <f t="shared" si="166"/>
        <v>0</v>
      </c>
      <c r="M352" s="92">
        <f t="shared" si="166"/>
        <v>0</v>
      </c>
      <c r="N352" s="92">
        <f aca="true" t="shared" si="167" ref="N352:P355">SUM(N357)</f>
        <v>0</v>
      </c>
      <c r="O352" s="92">
        <f t="shared" si="167"/>
        <v>0</v>
      </c>
      <c r="P352" s="92">
        <f t="shared" si="167"/>
        <v>0</v>
      </c>
      <c r="Q352" s="26" t="s">
        <v>67</v>
      </c>
    </row>
    <row r="353" spans="1:17" s="4" customFormat="1" ht="15" outlineLevel="1">
      <c r="A353" s="12" t="s">
        <v>183</v>
      </c>
      <c r="B353" s="1" t="s">
        <v>1</v>
      </c>
      <c r="C353" s="90">
        <f t="shared" si="145"/>
        <v>0</v>
      </c>
      <c r="D353" s="99">
        <f t="shared" si="164"/>
        <v>0</v>
      </c>
      <c r="E353" s="99">
        <f t="shared" si="164"/>
        <v>0</v>
      </c>
      <c r="F353" s="92">
        <f t="shared" si="164"/>
        <v>0</v>
      </c>
      <c r="G353" s="93">
        <f t="shared" si="164"/>
        <v>0</v>
      </c>
      <c r="H353" s="93">
        <f t="shared" si="164"/>
        <v>0</v>
      </c>
      <c r="I353" s="93">
        <f t="shared" si="165"/>
        <v>0</v>
      </c>
      <c r="J353" s="92">
        <f t="shared" si="165"/>
        <v>0</v>
      </c>
      <c r="K353" s="92">
        <f t="shared" si="166"/>
        <v>0</v>
      </c>
      <c r="L353" s="92">
        <f t="shared" si="166"/>
        <v>0</v>
      </c>
      <c r="M353" s="92">
        <f t="shared" si="166"/>
        <v>0</v>
      </c>
      <c r="N353" s="92">
        <f t="shared" si="167"/>
        <v>0</v>
      </c>
      <c r="O353" s="92">
        <f t="shared" si="167"/>
        <v>0</v>
      </c>
      <c r="P353" s="92">
        <f t="shared" si="167"/>
        <v>0</v>
      </c>
      <c r="Q353" s="26" t="s">
        <v>67</v>
      </c>
    </row>
    <row r="354" spans="1:17" s="4" customFormat="1" ht="15" outlineLevel="1">
      <c r="A354" s="12" t="s">
        <v>184</v>
      </c>
      <c r="B354" s="1" t="s">
        <v>2</v>
      </c>
      <c r="C354" s="90">
        <f t="shared" si="145"/>
        <v>0</v>
      </c>
      <c r="D354" s="99">
        <f t="shared" si="164"/>
        <v>0</v>
      </c>
      <c r="E354" s="99">
        <f t="shared" si="164"/>
        <v>0</v>
      </c>
      <c r="F354" s="92">
        <f t="shared" si="164"/>
        <v>0</v>
      </c>
      <c r="G354" s="93">
        <f t="shared" si="164"/>
        <v>0</v>
      </c>
      <c r="H354" s="93">
        <f t="shared" si="164"/>
        <v>0</v>
      </c>
      <c r="I354" s="93">
        <f t="shared" si="165"/>
        <v>0</v>
      </c>
      <c r="J354" s="92">
        <f t="shared" si="165"/>
        <v>0</v>
      </c>
      <c r="K354" s="92">
        <f t="shared" si="166"/>
        <v>0</v>
      </c>
      <c r="L354" s="92">
        <f t="shared" si="166"/>
        <v>0</v>
      </c>
      <c r="M354" s="92">
        <f t="shared" si="166"/>
        <v>0</v>
      </c>
      <c r="N354" s="92">
        <f t="shared" si="167"/>
        <v>0</v>
      </c>
      <c r="O354" s="92">
        <f t="shared" si="167"/>
        <v>0</v>
      </c>
      <c r="P354" s="92">
        <f t="shared" si="167"/>
        <v>0</v>
      </c>
      <c r="Q354" s="26" t="s">
        <v>67</v>
      </c>
    </row>
    <row r="355" spans="1:17" s="4" customFormat="1" ht="15" outlineLevel="1">
      <c r="A355" s="12" t="s">
        <v>185</v>
      </c>
      <c r="B355" s="1" t="s">
        <v>4</v>
      </c>
      <c r="C355" s="90">
        <f t="shared" si="145"/>
        <v>0</v>
      </c>
      <c r="D355" s="99">
        <f t="shared" si="164"/>
        <v>0</v>
      </c>
      <c r="E355" s="99">
        <f t="shared" si="164"/>
        <v>0</v>
      </c>
      <c r="F355" s="92">
        <f t="shared" si="164"/>
        <v>0</v>
      </c>
      <c r="G355" s="93">
        <f t="shared" si="164"/>
        <v>0</v>
      </c>
      <c r="H355" s="93">
        <f t="shared" si="164"/>
        <v>0</v>
      </c>
      <c r="I355" s="93">
        <f t="shared" si="165"/>
        <v>0</v>
      </c>
      <c r="J355" s="92">
        <f t="shared" si="165"/>
        <v>0</v>
      </c>
      <c r="K355" s="92">
        <f t="shared" si="166"/>
        <v>0</v>
      </c>
      <c r="L355" s="92">
        <f t="shared" si="166"/>
        <v>0</v>
      </c>
      <c r="M355" s="92">
        <f t="shared" si="166"/>
        <v>0</v>
      </c>
      <c r="N355" s="92">
        <f t="shared" si="167"/>
        <v>0</v>
      </c>
      <c r="O355" s="92">
        <f t="shared" si="167"/>
        <v>0</v>
      </c>
      <c r="P355" s="92">
        <f t="shared" si="167"/>
        <v>0</v>
      </c>
      <c r="Q355" s="26" t="s">
        <v>67</v>
      </c>
    </row>
    <row r="356" spans="1:17" s="4" customFormat="1" ht="15" outlineLevel="1">
      <c r="A356" s="12" t="s">
        <v>186</v>
      </c>
      <c r="B356" s="257" t="s">
        <v>70</v>
      </c>
      <c r="C356" s="257"/>
      <c r="D356" s="257"/>
      <c r="E356" s="257"/>
      <c r="F356" s="257"/>
      <c r="G356" s="257"/>
      <c r="H356" s="257"/>
      <c r="I356" s="257"/>
      <c r="J356" s="257"/>
      <c r="K356" s="257"/>
      <c r="L356" s="257"/>
      <c r="M356" s="257"/>
      <c r="N356" s="257"/>
      <c r="O356" s="257"/>
      <c r="P356" s="257"/>
      <c r="Q356" s="257"/>
    </row>
    <row r="357" spans="1:17" s="4" customFormat="1" ht="30.75" outlineLevel="1">
      <c r="A357" s="12" t="s">
        <v>187</v>
      </c>
      <c r="B357" s="1" t="s">
        <v>71</v>
      </c>
      <c r="C357" s="90">
        <f t="shared" si="145"/>
        <v>0</v>
      </c>
      <c r="D357" s="41">
        <f aca="true" t="shared" si="168" ref="D357:I357">SUM(D358:D361)</f>
        <v>0</v>
      </c>
      <c r="E357" s="41">
        <f t="shared" si="168"/>
        <v>0</v>
      </c>
      <c r="F357" s="136">
        <f t="shared" si="168"/>
        <v>0</v>
      </c>
      <c r="G357" s="136">
        <f t="shared" si="168"/>
        <v>0</v>
      </c>
      <c r="H357" s="136">
        <f t="shared" si="168"/>
        <v>0</v>
      </c>
      <c r="I357" s="136">
        <f t="shared" si="168"/>
        <v>0</v>
      </c>
      <c r="J357" s="158">
        <f>SUM(J358:J361)</f>
        <v>0</v>
      </c>
      <c r="K357" s="158">
        <f>SUM(K358:K361)</f>
        <v>0</v>
      </c>
      <c r="L357" s="158"/>
      <c r="M357" s="158"/>
      <c r="N357" s="158"/>
      <c r="O357" s="158"/>
      <c r="P357" s="158"/>
      <c r="Q357" s="1"/>
    </row>
    <row r="358" spans="1:17" s="4" customFormat="1" ht="15" outlineLevel="1">
      <c r="A358" s="12" t="s">
        <v>188</v>
      </c>
      <c r="B358" s="1" t="s">
        <v>3</v>
      </c>
      <c r="C358" s="90">
        <f t="shared" si="145"/>
        <v>0</v>
      </c>
      <c r="D358" s="42">
        <f>SUM(D363,D368,D375)</f>
        <v>0</v>
      </c>
      <c r="E358" s="42">
        <f aca="true" t="shared" si="169" ref="E358:J358">SUM(E363,E368,E375)</f>
        <v>0</v>
      </c>
      <c r="F358" s="137">
        <f t="shared" si="169"/>
        <v>0</v>
      </c>
      <c r="G358" s="137">
        <f t="shared" si="169"/>
        <v>0</v>
      </c>
      <c r="H358" s="138">
        <f t="shared" si="169"/>
        <v>0</v>
      </c>
      <c r="I358" s="138">
        <f t="shared" si="169"/>
        <v>0</v>
      </c>
      <c r="J358" s="137">
        <f t="shared" si="169"/>
        <v>0</v>
      </c>
      <c r="K358" s="137">
        <f>SUM(K363,K368,K375)</f>
        <v>0</v>
      </c>
      <c r="L358" s="137"/>
      <c r="M358" s="137"/>
      <c r="N358" s="137"/>
      <c r="O358" s="137"/>
      <c r="P358" s="137"/>
      <c r="Q358" s="1"/>
    </row>
    <row r="359" spans="1:17" s="4" customFormat="1" ht="15" outlineLevel="1">
      <c r="A359" s="12" t="s">
        <v>189</v>
      </c>
      <c r="B359" s="1" t="s">
        <v>1</v>
      </c>
      <c r="C359" s="90">
        <f t="shared" si="145"/>
        <v>0</v>
      </c>
      <c r="D359" s="42">
        <f>SUM(D364,D369,D376)</f>
        <v>0</v>
      </c>
      <c r="E359" s="42">
        <f>SUM(E364,E369,E376)</f>
        <v>0</v>
      </c>
      <c r="F359" s="137">
        <f>SUM(F364,F369,F376)</f>
        <v>0</v>
      </c>
      <c r="G359" s="137">
        <f>SUM(G364,G369,G376)</f>
        <v>0</v>
      </c>
      <c r="H359" s="138"/>
      <c r="I359" s="138"/>
      <c r="J359" s="137"/>
      <c r="K359" s="137">
        <f>SUM(K364,K369,K376)</f>
        <v>0</v>
      </c>
      <c r="L359" s="137"/>
      <c r="M359" s="137"/>
      <c r="N359" s="137"/>
      <c r="O359" s="137"/>
      <c r="P359" s="137"/>
      <c r="Q359" s="1"/>
    </row>
    <row r="360" spans="1:17" s="4" customFormat="1" ht="15" outlineLevel="1">
      <c r="A360" s="12" t="s">
        <v>190</v>
      </c>
      <c r="B360" s="1" t="s">
        <v>2</v>
      </c>
      <c r="C360" s="90">
        <f t="shared" si="145"/>
        <v>0</v>
      </c>
      <c r="D360" s="42"/>
      <c r="E360" s="42"/>
      <c r="F360" s="138"/>
      <c r="G360" s="138"/>
      <c r="H360" s="138"/>
      <c r="I360" s="138"/>
      <c r="J360" s="137"/>
      <c r="K360" s="137"/>
      <c r="L360" s="137"/>
      <c r="M360" s="137"/>
      <c r="N360" s="137"/>
      <c r="O360" s="137"/>
      <c r="P360" s="137"/>
      <c r="Q360" s="1"/>
    </row>
    <row r="361" spans="1:17" s="4" customFormat="1" ht="15" outlineLevel="1">
      <c r="A361" s="12" t="s">
        <v>191</v>
      </c>
      <c r="B361" s="29" t="s">
        <v>4</v>
      </c>
      <c r="C361" s="90">
        <f t="shared" si="145"/>
        <v>0</v>
      </c>
      <c r="D361" s="42"/>
      <c r="E361" s="42"/>
      <c r="F361" s="138"/>
      <c r="G361" s="138"/>
      <c r="H361" s="138"/>
      <c r="I361" s="138"/>
      <c r="J361" s="137"/>
      <c r="K361" s="137"/>
      <c r="L361" s="137"/>
      <c r="M361" s="137"/>
      <c r="N361" s="137"/>
      <c r="O361" s="137"/>
      <c r="P361" s="137"/>
      <c r="Q361" s="1"/>
    </row>
    <row r="362" spans="1:17" s="4" customFormat="1" ht="30.75" outlineLevel="1">
      <c r="A362" s="12" t="s">
        <v>192</v>
      </c>
      <c r="B362" s="1" t="s">
        <v>204</v>
      </c>
      <c r="C362" s="90">
        <f t="shared" si="145"/>
        <v>0</v>
      </c>
      <c r="D362" s="43">
        <f aca="true" t="shared" si="170" ref="D362:J362">SUM(D363:D366)</f>
        <v>0</v>
      </c>
      <c r="E362" s="43">
        <f t="shared" si="170"/>
        <v>0</v>
      </c>
      <c r="F362" s="139">
        <f t="shared" si="170"/>
        <v>0</v>
      </c>
      <c r="G362" s="139">
        <f t="shared" si="170"/>
        <v>0</v>
      </c>
      <c r="H362" s="139">
        <f t="shared" si="170"/>
        <v>0</v>
      </c>
      <c r="I362" s="139">
        <f t="shared" si="170"/>
        <v>0</v>
      </c>
      <c r="J362" s="159">
        <f t="shared" si="170"/>
        <v>0</v>
      </c>
      <c r="K362" s="159">
        <f>SUM(K363:K366)</f>
        <v>0</v>
      </c>
      <c r="L362" s="159"/>
      <c r="M362" s="159"/>
      <c r="N362" s="159"/>
      <c r="O362" s="159"/>
      <c r="P362" s="159"/>
      <c r="Q362" s="26"/>
    </row>
    <row r="363" spans="1:17" s="4" customFormat="1" ht="15" outlineLevel="1">
      <c r="A363" s="12" t="s">
        <v>193</v>
      </c>
      <c r="B363" s="1" t="s">
        <v>3</v>
      </c>
      <c r="C363" s="90">
        <f t="shared" si="145"/>
        <v>0</v>
      </c>
      <c r="D363" s="28"/>
      <c r="E363" s="28"/>
      <c r="F363" s="59"/>
      <c r="G363" s="59">
        <v>0</v>
      </c>
      <c r="H363" s="59">
        <v>0</v>
      </c>
      <c r="I363" s="59">
        <v>0</v>
      </c>
      <c r="J363" s="33"/>
      <c r="K363" s="33"/>
      <c r="L363" s="33"/>
      <c r="M363" s="33"/>
      <c r="N363" s="33"/>
      <c r="O363" s="33"/>
      <c r="P363" s="33"/>
      <c r="Q363" s="26"/>
    </row>
    <row r="364" spans="1:17" s="4" customFormat="1" ht="15" outlineLevel="1">
      <c r="A364" s="12" t="s">
        <v>194</v>
      </c>
      <c r="B364" s="1" t="s">
        <v>1</v>
      </c>
      <c r="C364" s="90">
        <f t="shared" si="145"/>
        <v>0</v>
      </c>
      <c r="D364" s="28"/>
      <c r="E364" s="28"/>
      <c r="F364" s="59"/>
      <c r="G364" s="59">
        <v>0</v>
      </c>
      <c r="H364" s="59">
        <v>0</v>
      </c>
      <c r="I364" s="59">
        <v>0</v>
      </c>
      <c r="J364" s="33"/>
      <c r="K364" s="33"/>
      <c r="L364" s="33"/>
      <c r="M364" s="33"/>
      <c r="N364" s="33"/>
      <c r="O364" s="33"/>
      <c r="P364" s="33"/>
      <c r="Q364" s="26"/>
    </row>
    <row r="365" spans="1:17" s="4" customFormat="1" ht="15" outlineLevel="1">
      <c r="A365" s="12" t="s">
        <v>195</v>
      </c>
      <c r="B365" s="1" t="s">
        <v>2</v>
      </c>
      <c r="C365" s="90">
        <f t="shared" si="145"/>
        <v>0</v>
      </c>
      <c r="D365" s="28"/>
      <c r="E365" s="28"/>
      <c r="F365" s="59"/>
      <c r="G365" s="59"/>
      <c r="H365" s="59"/>
      <c r="I365" s="59"/>
      <c r="J365" s="33"/>
      <c r="K365" s="33"/>
      <c r="L365" s="33"/>
      <c r="M365" s="33"/>
      <c r="N365" s="33"/>
      <c r="O365" s="33"/>
      <c r="P365" s="33"/>
      <c r="Q365" s="26"/>
    </row>
    <row r="366" spans="1:17" s="4" customFormat="1" ht="15" outlineLevel="1">
      <c r="A366" s="12" t="s">
        <v>196</v>
      </c>
      <c r="B366" s="1" t="s">
        <v>4</v>
      </c>
      <c r="C366" s="90">
        <f t="shared" si="145"/>
        <v>0</v>
      </c>
      <c r="D366" s="32"/>
      <c r="E366" s="32"/>
      <c r="F366" s="60"/>
      <c r="G366" s="60"/>
      <c r="H366" s="60"/>
      <c r="I366" s="60"/>
      <c r="J366" s="34"/>
      <c r="K366" s="34"/>
      <c r="L366" s="34"/>
      <c r="M366" s="34"/>
      <c r="N366" s="34"/>
      <c r="O366" s="34"/>
      <c r="P366" s="34"/>
      <c r="Q366" s="26"/>
    </row>
    <row r="367" spans="1:17" s="4" customFormat="1" ht="46.5" outlineLevel="1">
      <c r="A367" s="12" t="s">
        <v>197</v>
      </c>
      <c r="B367" s="1" t="s">
        <v>205</v>
      </c>
      <c r="C367" s="90">
        <f t="shared" si="145"/>
        <v>0</v>
      </c>
      <c r="D367" s="43">
        <f aca="true" t="shared" si="171" ref="D367:J367">SUM(D368:D371)</f>
        <v>0</v>
      </c>
      <c r="E367" s="43">
        <f t="shared" si="171"/>
        <v>0</v>
      </c>
      <c r="F367" s="139">
        <f t="shared" si="171"/>
        <v>0</v>
      </c>
      <c r="G367" s="139">
        <f t="shared" si="171"/>
        <v>0</v>
      </c>
      <c r="H367" s="139">
        <f t="shared" si="171"/>
        <v>0</v>
      </c>
      <c r="I367" s="139">
        <f t="shared" si="171"/>
        <v>0</v>
      </c>
      <c r="J367" s="159">
        <f t="shared" si="171"/>
        <v>0</v>
      </c>
      <c r="K367" s="159">
        <f>SUM(K368:K371)</f>
        <v>0</v>
      </c>
      <c r="L367" s="159"/>
      <c r="M367" s="159"/>
      <c r="N367" s="159"/>
      <c r="O367" s="159"/>
      <c r="P367" s="159"/>
      <c r="Q367" s="26"/>
    </row>
    <row r="368" spans="1:17" s="4" customFormat="1" ht="15" outlineLevel="1">
      <c r="A368" s="12" t="s">
        <v>198</v>
      </c>
      <c r="B368" s="1" t="s">
        <v>3</v>
      </c>
      <c r="C368" s="90">
        <f t="shared" si="145"/>
        <v>0</v>
      </c>
      <c r="D368" s="28"/>
      <c r="E368" s="28"/>
      <c r="F368" s="59"/>
      <c r="G368" s="59">
        <v>0</v>
      </c>
      <c r="H368" s="59">
        <v>0</v>
      </c>
      <c r="I368" s="59">
        <v>0</v>
      </c>
      <c r="J368" s="33"/>
      <c r="K368" s="33"/>
      <c r="L368" s="33"/>
      <c r="M368" s="33"/>
      <c r="N368" s="33"/>
      <c r="O368" s="33"/>
      <c r="P368" s="33"/>
      <c r="Q368" s="26"/>
    </row>
    <row r="369" spans="1:17" s="4" customFormat="1" ht="15" outlineLevel="1">
      <c r="A369" s="12" t="s">
        <v>199</v>
      </c>
      <c r="B369" s="1" t="s">
        <v>1</v>
      </c>
      <c r="C369" s="90">
        <f aca="true" t="shared" si="172" ref="C369:C432">SUM(D369:P369)</f>
        <v>0</v>
      </c>
      <c r="D369" s="28"/>
      <c r="E369" s="28"/>
      <c r="F369" s="59"/>
      <c r="G369" s="59">
        <v>0</v>
      </c>
      <c r="H369" s="59">
        <v>0</v>
      </c>
      <c r="I369" s="59">
        <v>0</v>
      </c>
      <c r="J369" s="33"/>
      <c r="K369" s="33"/>
      <c r="L369" s="33"/>
      <c r="M369" s="33"/>
      <c r="N369" s="33"/>
      <c r="O369" s="33"/>
      <c r="P369" s="33"/>
      <c r="Q369" s="26"/>
    </row>
    <row r="370" spans="1:17" s="4" customFormat="1" ht="15" outlineLevel="1">
      <c r="A370" s="12" t="s">
        <v>200</v>
      </c>
      <c r="B370" s="1" t="s">
        <v>2</v>
      </c>
      <c r="C370" s="90">
        <f t="shared" si="172"/>
        <v>0</v>
      </c>
      <c r="D370" s="28"/>
      <c r="E370" s="28"/>
      <c r="F370" s="59"/>
      <c r="G370" s="59"/>
      <c r="H370" s="59"/>
      <c r="I370" s="59"/>
      <c r="J370" s="33"/>
      <c r="K370" s="33"/>
      <c r="L370" s="33"/>
      <c r="M370" s="33"/>
      <c r="N370" s="33"/>
      <c r="O370" s="33"/>
      <c r="P370" s="33"/>
      <c r="Q370" s="26"/>
    </row>
    <row r="371" spans="1:17" s="4" customFormat="1" ht="15" outlineLevel="1">
      <c r="A371" s="12" t="s">
        <v>201</v>
      </c>
      <c r="B371" s="1" t="s">
        <v>4</v>
      </c>
      <c r="C371" s="90">
        <f t="shared" si="172"/>
        <v>0</v>
      </c>
      <c r="D371" s="32">
        <v>0</v>
      </c>
      <c r="E371" s="32">
        <v>0</v>
      </c>
      <c r="F371" s="60">
        <v>0</v>
      </c>
      <c r="G371" s="60">
        <v>0</v>
      </c>
      <c r="H371" s="60">
        <v>0</v>
      </c>
      <c r="I371" s="60">
        <v>0</v>
      </c>
      <c r="J371" s="34"/>
      <c r="K371" s="34"/>
      <c r="L371" s="34"/>
      <c r="M371" s="34"/>
      <c r="N371" s="34"/>
      <c r="O371" s="34"/>
      <c r="P371" s="34"/>
      <c r="Q371" s="26"/>
    </row>
    <row r="372" spans="1:17" s="4" customFormat="1" ht="15" outlineLevel="1">
      <c r="A372" s="12">
        <v>278</v>
      </c>
      <c r="B372" s="292" t="s">
        <v>104</v>
      </c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</row>
    <row r="373" spans="1:17" s="4" customFormat="1" ht="15" outlineLevel="1">
      <c r="A373" s="12">
        <v>279</v>
      </c>
      <c r="B373" s="1" t="s">
        <v>105</v>
      </c>
      <c r="C373" s="90">
        <f t="shared" si="172"/>
        <v>238504.54298</v>
      </c>
      <c r="D373" s="66">
        <f aca="true" t="shared" si="173" ref="D373:I373">SUM(D374:D377)</f>
        <v>138</v>
      </c>
      <c r="E373" s="66">
        <f t="shared" si="173"/>
        <v>0</v>
      </c>
      <c r="F373" s="67">
        <f t="shared" si="173"/>
        <v>0</v>
      </c>
      <c r="G373" s="67">
        <f t="shared" si="173"/>
        <v>4298.75</v>
      </c>
      <c r="H373" s="67">
        <f t="shared" si="173"/>
        <v>18726.295</v>
      </c>
      <c r="I373" s="67">
        <f t="shared" si="173"/>
        <v>46759.38298</v>
      </c>
      <c r="J373" s="66">
        <f aca="true" t="shared" si="174" ref="J373:P373">SUM(J374:J377)</f>
        <v>43221.661</v>
      </c>
      <c r="K373" s="66">
        <f t="shared" si="174"/>
        <v>4686.434</v>
      </c>
      <c r="L373" s="66">
        <f t="shared" si="174"/>
        <v>120674.02</v>
      </c>
      <c r="M373" s="66">
        <f t="shared" si="174"/>
        <v>0</v>
      </c>
      <c r="N373" s="66">
        <f t="shared" si="174"/>
        <v>0</v>
      </c>
      <c r="O373" s="66">
        <f t="shared" si="174"/>
        <v>0</v>
      </c>
      <c r="P373" s="66">
        <f t="shared" si="174"/>
        <v>0</v>
      </c>
      <c r="Q373" s="26" t="s">
        <v>67</v>
      </c>
    </row>
    <row r="374" spans="1:17" s="4" customFormat="1" ht="15" outlineLevel="1">
      <c r="A374" s="12">
        <v>280</v>
      </c>
      <c r="B374" s="1" t="s">
        <v>3</v>
      </c>
      <c r="C374" s="90">
        <f t="shared" si="172"/>
        <v>21506.922980000003</v>
      </c>
      <c r="D374" s="68">
        <f aca="true" t="shared" si="175" ref="D374:I377">D380</f>
        <v>138</v>
      </c>
      <c r="E374" s="68">
        <f t="shared" si="175"/>
        <v>0</v>
      </c>
      <c r="F374" s="69">
        <f t="shared" si="175"/>
        <v>0</v>
      </c>
      <c r="G374" s="69">
        <f t="shared" si="175"/>
        <v>4298.75</v>
      </c>
      <c r="H374" s="69">
        <f t="shared" si="175"/>
        <v>1040.795</v>
      </c>
      <c r="I374" s="69">
        <f t="shared" si="175"/>
        <v>5699.08298</v>
      </c>
      <c r="J374" s="68">
        <f aca="true" t="shared" si="176" ref="J374:K377">J380</f>
        <v>5643.861</v>
      </c>
      <c r="K374" s="68">
        <f t="shared" si="176"/>
        <v>4686.434</v>
      </c>
      <c r="L374" s="68">
        <f aca="true" t="shared" si="177" ref="L374:M377">L380</f>
        <v>0</v>
      </c>
      <c r="M374" s="68">
        <f>M380</f>
        <v>0</v>
      </c>
      <c r="N374" s="68">
        <f>N380</f>
        <v>0</v>
      </c>
      <c r="O374" s="68">
        <f>O380</f>
        <v>0</v>
      </c>
      <c r="P374" s="68">
        <f>P380</f>
        <v>0</v>
      </c>
      <c r="Q374" s="26" t="s">
        <v>67</v>
      </c>
    </row>
    <row r="375" spans="1:17" s="4" customFormat="1" ht="15" outlineLevel="1">
      <c r="A375" s="12">
        <v>281</v>
      </c>
      <c r="B375" s="1" t="s">
        <v>1</v>
      </c>
      <c r="C375" s="90">
        <f t="shared" si="172"/>
        <v>0</v>
      </c>
      <c r="D375" s="68">
        <f t="shared" si="175"/>
        <v>0</v>
      </c>
      <c r="E375" s="68">
        <f t="shared" si="175"/>
        <v>0</v>
      </c>
      <c r="F375" s="69">
        <f t="shared" si="175"/>
        <v>0</v>
      </c>
      <c r="G375" s="69">
        <f t="shared" si="175"/>
        <v>0</v>
      </c>
      <c r="H375" s="69">
        <f t="shared" si="175"/>
        <v>0</v>
      </c>
      <c r="I375" s="69">
        <f t="shared" si="175"/>
        <v>0</v>
      </c>
      <c r="J375" s="68">
        <f t="shared" si="176"/>
        <v>0</v>
      </c>
      <c r="K375" s="68">
        <f t="shared" si="176"/>
        <v>0</v>
      </c>
      <c r="L375" s="68">
        <f t="shared" si="177"/>
        <v>0</v>
      </c>
      <c r="M375" s="68">
        <f t="shared" si="177"/>
        <v>0</v>
      </c>
      <c r="N375" s="68">
        <f aca="true" t="shared" si="178" ref="N375:P377">N381</f>
        <v>0</v>
      </c>
      <c r="O375" s="68">
        <f t="shared" si="178"/>
        <v>0</v>
      </c>
      <c r="P375" s="68">
        <f t="shared" si="178"/>
        <v>0</v>
      </c>
      <c r="Q375" s="26" t="s">
        <v>67</v>
      </c>
    </row>
    <row r="376" spans="1:17" s="4" customFormat="1" ht="15" outlineLevel="1">
      <c r="A376" s="12">
        <v>282</v>
      </c>
      <c r="B376" s="1" t="s">
        <v>2</v>
      </c>
      <c r="C376" s="90">
        <f t="shared" si="172"/>
        <v>96323.6</v>
      </c>
      <c r="D376" s="68">
        <f t="shared" si="175"/>
        <v>0</v>
      </c>
      <c r="E376" s="68">
        <f t="shared" si="175"/>
        <v>0</v>
      </c>
      <c r="F376" s="69">
        <f t="shared" si="175"/>
        <v>0</v>
      </c>
      <c r="G376" s="69">
        <f t="shared" si="175"/>
        <v>0</v>
      </c>
      <c r="H376" s="69">
        <f t="shared" si="175"/>
        <v>17685.5</v>
      </c>
      <c r="I376" s="69">
        <f t="shared" si="175"/>
        <v>41060.3</v>
      </c>
      <c r="J376" s="68">
        <f t="shared" si="176"/>
        <v>37577.8</v>
      </c>
      <c r="K376" s="68">
        <f t="shared" si="176"/>
        <v>0</v>
      </c>
      <c r="L376" s="68">
        <f t="shared" si="177"/>
        <v>0</v>
      </c>
      <c r="M376" s="68">
        <f t="shared" si="177"/>
        <v>0</v>
      </c>
      <c r="N376" s="68">
        <f t="shared" si="178"/>
        <v>0</v>
      </c>
      <c r="O376" s="68">
        <f t="shared" si="178"/>
        <v>0</v>
      </c>
      <c r="P376" s="68">
        <f t="shared" si="178"/>
        <v>0</v>
      </c>
      <c r="Q376" s="26" t="s">
        <v>67</v>
      </c>
    </row>
    <row r="377" spans="1:17" s="4" customFormat="1" ht="15" outlineLevel="1">
      <c r="A377" s="12">
        <v>283</v>
      </c>
      <c r="B377" s="29" t="s">
        <v>4</v>
      </c>
      <c r="C377" s="90">
        <f t="shared" si="172"/>
        <v>120674.02</v>
      </c>
      <c r="D377" s="68">
        <f t="shared" si="175"/>
        <v>0</v>
      </c>
      <c r="E377" s="68">
        <f t="shared" si="175"/>
        <v>0</v>
      </c>
      <c r="F377" s="69">
        <f t="shared" si="175"/>
        <v>0</v>
      </c>
      <c r="G377" s="69">
        <f t="shared" si="175"/>
        <v>0</v>
      </c>
      <c r="H377" s="69">
        <f t="shared" si="175"/>
        <v>0</v>
      </c>
      <c r="I377" s="69">
        <f t="shared" si="175"/>
        <v>0</v>
      </c>
      <c r="J377" s="68">
        <f t="shared" si="176"/>
        <v>0</v>
      </c>
      <c r="K377" s="68">
        <f t="shared" si="176"/>
        <v>0</v>
      </c>
      <c r="L377" s="68">
        <f t="shared" si="177"/>
        <v>120674.02</v>
      </c>
      <c r="M377" s="68">
        <f t="shared" si="177"/>
        <v>0</v>
      </c>
      <c r="N377" s="68">
        <f t="shared" si="178"/>
        <v>0</v>
      </c>
      <c r="O377" s="68">
        <f t="shared" si="178"/>
        <v>0</v>
      </c>
      <c r="P377" s="68">
        <f t="shared" si="178"/>
        <v>0</v>
      </c>
      <c r="Q377" s="30" t="s">
        <v>67</v>
      </c>
    </row>
    <row r="378" spans="1:17" s="4" customFormat="1" ht="15" outlineLevel="1">
      <c r="A378" s="12">
        <v>284</v>
      </c>
      <c r="B378" s="278" t="s">
        <v>68</v>
      </c>
      <c r="C378" s="279"/>
      <c r="D378" s="279"/>
      <c r="E378" s="279"/>
      <c r="F378" s="279"/>
      <c r="G378" s="279"/>
      <c r="H378" s="279"/>
      <c r="I378" s="279"/>
      <c r="J378" s="279"/>
      <c r="K378" s="279"/>
      <c r="L378" s="279"/>
      <c r="M378" s="279"/>
      <c r="N378" s="279"/>
      <c r="O378" s="279"/>
      <c r="P378" s="279"/>
      <c r="Q378" s="299"/>
    </row>
    <row r="379" spans="1:17" s="4" customFormat="1" ht="30.75" outlineLevel="1">
      <c r="A379" s="12">
        <v>285</v>
      </c>
      <c r="B379" s="1" t="s">
        <v>69</v>
      </c>
      <c r="C379" s="90">
        <f t="shared" si="172"/>
        <v>238504.54298</v>
      </c>
      <c r="D379" s="91">
        <f>SUM(D380:D383)</f>
        <v>138</v>
      </c>
      <c r="E379" s="91">
        <f aca="true" t="shared" si="179" ref="E379:M379">SUM(E380:E383)</f>
        <v>0</v>
      </c>
      <c r="F379" s="91">
        <f t="shared" si="179"/>
        <v>0</v>
      </c>
      <c r="G379" s="91">
        <f t="shared" si="179"/>
        <v>4298.75</v>
      </c>
      <c r="H379" s="91">
        <f t="shared" si="179"/>
        <v>18726.295</v>
      </c>
      <c r="I379" s="91">
        <f t="shared" si="179"/>
        <v>46759.38298</v>
      </c>
      <c r="J379" s="91">
        <f t="shared" si="179"/>
        <v>43221.661</v>
      </c>
      <c r="K379" s="91">
        <f t="shared" si="179"/>
        <v>4686.434</v>
      </c>
      <c r="L379" s="91">
        <f t="shared" si="179"/>
        <v>120674.02</v>
      </c>
      <c r="M379" s="91">
        <f t="shared" si="179"/>
        <v>0</v>
      </c>
      <c r="N379" s="91">
        <f>SUM(N380:N383)</f>
        <v>0</v>
      </c>
      <c r="O379" s="91">
        <f>SUM(O380:O383)</f>
        <v>0</v>
      </c>
      <c r="P379" s="91">
        <f>SUM(P380:P383)</f>
        <v>0</v>
      </c>
      <c r="Q379" s="26" t="s">
        <v>67</v>
      </c>
    </row>
    <row r="380" spans="1:17" s="4" customFormat="1" ht="15" outlineLevel="1">
      <c r="A380" s="12">
        <v>286</v>
      </c>
      <c r="B380" s="1" t="s">
        <v>3</v>
      </c>
      <c r="C380" s="90">
        <f t="shared" si="172"/>
        <v>21506.922980000003</v>
      </c>
      <c r="D380" s="93">
        <f aca="true" t="shared" si="180" ref="D380:M380">SUM(D385,D390,D395,D400,D405,D410,D415,D420,D425)</f>
        <v>138</v>
      </c>
      <c r="E380" s="93">
        <f t="shared" si="180"/>
        <v>0</v>
      </c>
      <c r="F380" s="93">
        <f t="shared" si="180"/>
        <v>0</v>
      </c>
      <c r="G380" s="93">
        <f t="shared" si="180"/>
        <v>4298.75</v>
      </c>
      <c r="H380" s="93">
        <f t="shared" si="180"/>
        <v>1040.795</v>
      </c>
      <c r="I380" s="93">
        <f t="shared" si="180"/>
        <v>5699.08298</v>
      </c>
      <c r="J380" s="93">
        <f t="shared" si="180"/>
        <v>5643.861</v>
      </c>
      <c r="K380" s="93">
        <f t="shared" si="180"/>
        <v>4686.434</v>
      </c>
      <c r="L380" s="93">
        <f t="shared" si="180"/>
        <v>0</v>
      </c>
      <c r="M380" s="93">
        <f t="shared" si="180"/>
        <v>0</v>
      </c>
      <c r="N380" s="93">
        <f aca="true" t="shared" si="181" ref="N380:P383">SUM(N385,N390,N395,N400,N405,N410,N415,N420,N425)</f>
        <v>0</v>
      </c>
      <c r="O380" s="93">
        <f t="shared" si="181"/>
        <v>0</v>
      </c>
      <c r="P380" s="93">
        <f t="shared" si="181"/>
        <v>0</v>
      </c>
      <c r="Q380" s="26" t="s">
        <v>67</v>
      </c>
    </row>
    <row r="381" spans="1:17" s="4" customFormat="1" ht="15" outlineLevel="1">
      <c r="A381" s="12">
        <v>287</v>
      </c>
      <c r="B381" s="1" t="s">
        <v>1</v>
      </c>
      <c r="C381" s="90">
        <f t="shared" si="172"/>
        <v>0</v>
      </c>
      <c r="D381" s="93">
        <f aca="true" t="shared" si="182" ref="D381:M381">SUM(D386,D391,D396,D401,D406,D411,D416,D421,D426)</f>
        <v>0</v>
      </c>
      <c r="E381" s="93">
        <f t="shared" si="182"/>
        <v>0</v>
      </c>
      <c r="F381" s="93">
        <f t="shared" si="182"/>
        <v>0</v>
      </c>
      <c r="G381" s="93">
        <f t="shared" si="182"/>
        <v>0</v>
      </c>
      <c r="H381" s="93">
        <f t="shared" si="182"/>
        <v>0</v>
      </c>
      <c r="I381" s="93">
        <f t="shared" si="182"/>
        <v>0</v>
      </c>
      <c r="J381" s="93">
        <f t="shared" si="182"/>
        <v>0</v>
      </c>
      <c r="K381" s="93">
        <f t="shared" si="182"/>
        <v>0</v>
      </c>
      <c r="L381" s="93">
        <f t="shared" si="182"/>
        <v>0</v>
      </c>
      <c r="M381" s="93">
        <f t="shared" si="182"/>
        <v>0</v>
      </c>
      <c r="N381" s="93">
        <f t="shared" si="181"/>
        <v>0</v>
      </c>
      <c r="O381" s="93">
        <f t="shared" si="181"/>
        <v>0</v>
      </c>
      <c r="P381" s="93">
        <f t="shared" si="181"/>
        <v>0</v>
      </c>
      <c r="Q381" s="26" t="s">
        <v>67</v>
      </c>
    </row>
    <row r="382" spans="1:17" s="4" customFormat="1" ht="15" outlineLevel="1">
      <c r="A382" s="12">
        <v>288</v>
      </c>
      <c r="B382" s="1" t="s">
        <v>2</v>
      </c>
      <c r="C382" s="90">
        <f t="shared" si="172"/>
        <v>96323.6</v>
      </c>
      <c r="D382" s="93">
        <f aca="true" t="shared" si="183" ref="D382:M382">SUM(D387,D392,D397,D402,D407,D412,D417,D422,D427)</f>
        <v>0</v>
      </c>
      <c r="E382" s="93">
        <f t="shared" si="183"/>
        <v>0</v>
      </c>
      <c r="F382" s="93">
        <f t="shared" si="183"/>
        <v>0</v>
      </c>
      <c r="G382" s="93">
        <f t="shared" si="183"/>
        <v>0</v>
      </c>
      <c r="H382" s="93">
        <f t="shared" si="183"/>
        <v>17685.5</v>
      </c>
      <c r="I382" s="93">
        <f t="shared" si="183"/>
        <v>41060.3</v>
      </c>
      <c r="J382" s="93">
        <f t="shared" si="183"/>
        <v>37577.8</v>
      </c>
      <c r="K382" s="93">
        <f t="shared" si="183"/>
        <v>0</v>
      </c>
      <c r="L382" s="93">
        <f t="shared" si="183"/>
        <v>0</v>
      </c>
      <c r="M382" s="93">
        <f t="shared" si="183"/>
        <v>0</v>
      </c>
      <c r="N382" s="93">
        <f t="shared" si="181"/>
        <v>0</v>
      </c>
      <c r="O382" s="93">
        <f t="shared" si="181"/>
        <v>0</v>
      </c>
      <c r="P382" s="93">
        <f t="shared" si="181"/>
        <v>0</v>
      </c>
      <c r="Q382" s="26" t="s">
        <v>67</v>
      </c>
    </row>
    <row r="383" spans="1:17" s="4" customFormat="1" ht="15" outlineLevel="1">
      <c r="A383" s="12">
        <v>289</v>
      </c>
      <c r="B383" s="1" t="s">
        <v>4</v>
      </c>
      <c r="C383" s="90">
        <f t="shared" si="172"/>
        <v>120674.02</v>
      </c>
      <c r="D383" s="93">
        <f aca="true" t="shared" si="184" ref="D383:M383">SUM(D388,D393,D398,D403,D408,D413,D418,D423,D428)</f>
        <v>0</v>
      </c>
      <c r="E383" s="93">
        <f t="shared" si="184"/>
        <v>0</v>
      </c>
      <c r="F383" s="93">
        <f t="shared" si="184"/>
        <v>0</v>
      </c>
      <c r="G383" s="93">
        <f t="shared" si="184"/>
        <v>0</v>
      </c>
      <c r="H383" s="93">
        <f t="shared" si="184"/>
        <v>0</v>
      </c>
      <c r="I383" s="93">
        <f t="shared" si="184"/>
        <v>0</v>
      </c>
      <c r="J383" s="93">
        <f t="shared" si="184"/>
        <v>0</v>
      </c>
      <c r="K383" s="93">
        <f t="shared" si="184"/>
        <v>0</v>
      </c>
      <c r="L383" s="93">
        <f t="shared" si="184"/>
        <v>120674.02</v>
      </c>
      <c r="M383" s="93">
        <f t="shared" si="184"/>
        <v>0</v>
      </c>
      <c r="N383" s="93">
        <f t="shared" si="181"/>
        <v>0</v>
      </c>
      <c r="O383" s="93">
        <f t="shared" si="181"/>
        <v>0</v>
      </c>
      <c r="P383" s="93">
        <f t="shared" si="181"/>
        <v>0</v>
      </c>
      <c r="Q383" s="26" t="s">
        <v>67</v>
      </c>
    </row>
    <row r="384" spans="1:17" s="4" customFormat="1" ht="46.5" outlineLevel="1">
      <c r="A384" s="12">
        <v>290</v>
      </c>
      <c r="B384" s="1" t="s">
        <v>106</v>
      </c>
      <c r="C384" s="90">
        <f t="shared" si="172"/>
        <v>138</v>
      </c>
      <c r="D384" s="90">
        <f aca="true" t="shared" si="185" ref="D384:J384">SUM(D385:D388)</f>
        <v>138</v>
      </c>
      <c r="E384" s="154">
        <f t="shared" si="185"/>
        <v>0</v>
      </c>
      <c r="F384" s="130">
        <f t="shared" si="185"/>
        <v>0</v>
      </c>
      <c r="G384" s="130">
        <f t="shared" si="185"/>
        <v>0</v>
      </c>
      <c r="H384" s="130">
        <f t="shared" si="185"/>
        <v>0</v>
      </c>
      <c r="I384" s="130">
        <f t="shared" si="185"/>
        <v>0</v>
      </c>
      <c r="J384" s="154">
        <f t="shared" si="185"/>
        <v>0</v>
      </c>
      <c r="K384" s="154"/>
      <c r="L384" s="154"/>
      <c r="M384" s="154"/>
      <c r="N384" s="154"/>
      <c r="O384" s="154"/>
      <c r="P384" s="154"/>
      <c r="Q384" s="26">
        <v>37</v>
      </c>
    </row>
    <row r="385" spans="1:17" s="4" customFormat="1" ht="15" outlineLevel="1">
      <c r="A385" s="12">
        <v>291</v>
      </c>
      <c r="B385" s="1" t="s">
        <v>3</v>
      </c>
      <c r="C385" s="90">
        <f t="shared" si="172"/>
        <v>138</v>
      </c>
      <c r="D385" s="92">
        <f>250-112</f>
        <v>138</v>
      </c>
      <c r="E385" s="33"/>
      <c r="F385" s="59"/>
      <c r="G385" s="59"/>
      <c r="H385" s="59"/>
      <c r="I385" s="59"/>
      <c r="J385" s="33"/>
      <c r="K385" s="33"/>
      <c r="L385" s="33"/>
      <c r="M385" s="33"/>
      <c r="N385" s="33"/>
      <c r="O385" s="33"/>
      <c r="P385" s="33"/>
      <c r="Q385" s="26"/>
    </row>
    <row r="386" spans="1:17" s="4" customFormat="1" ht="15" outlineLevel="1">
      <c r="A386" s="12">
        <v>292</v>
      </c>
      <c r="B386" s="1" t="s">
        <v>1</v>
      </c>
      <c r="C386" s="90">
        <f t="shared" si="172"/>
        <v>0</v>
      </c>
      <c r="D386" s="92"/>
      <c r="E386" s="33"/>
      <c r="F386" s="59"/>
      <c r="G386" s="59"/>
      <c r="H386" s="59"/>
      <c r="I386" s="59"/>
      <c r="J386" s="33"/>
      <c r="K386" s="33"/>
      <c r="L386" s="33"/>
      <c r="M386" s="33"/>
      <c r="N386" s="33"/>
      <c r="O386" s="33"/>
      <c r="P386" s="33"/>
      <c r="Q386" s="26"/>
    </row>
    <row r="387" spans="1:17" s="4" customFormat="1" ht="15" outlineLevel="1">
      <c r="A387" s="12">
        <v>293</v>
      </c>
      <c r="B387" s="1" t="s">
        <v>2</v>
      </c>
      <c r="C387" s="90">
        <f t="shared" si="172"/>
        <v>0</v>
      </c>
      <c r="D387" s="92"/>
      <c r="E387" s="33"/>
      <c r="F387" s="59"/>
      <c r="G387" s="59"/>
      <c r="H387" s="59"/>
      <c r="I387" s="59"/>
      <c r="J387" s="33"/>
      <c r="K387" s="33"/>
      <c r="L387" s="33"/>
      <c r="M387" s="33"/>
      <c r="N387" s="33"/>
      <c r="O387" s="33"/>
      <c r="P387" s="33"/>
      <c r="Q387" s="26"/>
    </row>
    <row r="388" spans="1:17" s="4" customFormat="1" ht="15" outlineLevel="1">
      <c r="A388" s="12">
        <v>294</v>
      </c>
      <c r="B388" s="1" t="s">
        <v>4</v>
      </c>
      <c r="C388" s="90">
        <f t="shared" si="172"/>
        <v>0</v>
      </c>
      <c r="D388" s="70"/>
      <c r="E388" s="33"/>
      <c r="F388" s="59"/>
      <c r="G388" s="59"/>
      <c r="H388" s="59"/>
      <c r="I388" s="59"/>
      <c r="J388" s="33"/>
      <c r="K388" s="33"/>
      <c r="L388" s="33"/>
      <c r="M388" s="33"/>
      <c r="N388" s="33"/>
      <c r="O388" s="33"/>
      <c r="P388" s="33"/>
      <c r="Q388" s="26"/>
    </row>
    <row r="389" spans="1:17" s="4" customFormat="1" ht="62.25" outlineLevel="1">
      <c r="A389" s="12">
        <v>295</v>
      </c>
      <c r="B389" s="1" t="s">
        <v>172</v>
      </c>
      <c r="C389" s="90">
        <f t="shared" si="172"/>
        <v>62192.021140000004</v>
      </c>
      <c r="D389" s="154">
        <f aca="true" t="shared" si="186" ref="D389:J389">SUM(D390:D393)</f>
        <v>0</v>
      </c>
      <c r="E389" s="154">
        <f t="shared" si="186"/>
        <v>0</v>
      </c>
      <c r="F389" s="130">
        <f t="shared" si="186"/>
        <v>0</v>
      </c>
      <c r="G389" s="91">
        <f>SUM(G390:G393)</f>
        <v>4298.75</v>
      </c>
      <c r="H389" s="91">
        <f>SUM(H390:H393)</f>
        <v>15388</v>
      </c>
      <c r="I389" s="91">
        <f t="shared" si="186"/>
        <v>42505.271140000004</v>
      </c>
      <c r="J389" s="154">
        <f t="shared" si="186"/>
        <v>0</v>
      </c>
      <c r="K389" s="154">
        <f>SUM(K390:K393)</f>
        <v>0</v>
      </c>
      <c r="L389" s="154"/>
      <c r="M389" s="154"/>
      <c r="N389" s="154"/>
      <c r="O389" s="154"/>
      <c r="P389" s="154"/>
      <c r="Q389" s="26">
        <v>38.39</v>
      </c>
    </row>
    <row r="390" spans="1:17" s="4" customFormat="1" ht="15" outlineLevel="1">
      <c r="A390" s="12">
        <v>296</v>
      </c>
      <c r="B390" s="1" t="s">
        <v>3</v>
      </c>
      <c r="C390" s="90">
        <f t="shared" si="172"/>
        <v>6205.52114</v>
      </c>
      <c r="D390" s="33"/>
      <c r="E390" s="33"/>
      <c r="F390" s="59"/>
      <c r="G390" s="93">
        <v>4298.75</v>
      </c>
      <c r="H390" s="93">
        <f>134.4+327.4</f>
        <v>461.79999999999995</v>
      </c>
      <c r="I390" s="93">
        <f>1412.8+32.17048+0.00066</f>
        <v>1444.9711399999999</v>
      </c>
      <c r="J390" s="33"/>
      <c r="K390" s="33"/>
      <c r="L390" s="33"/>
      <c r="M390" s="33"/>
      <c r="N390" s="33"/>
      <c r="O390" s="33"/>
      <c r="P390" s="33"/>
      <c r="Q390" s="26"/>
    </row>
    <row r="391" spans="1:17" s="4" customFormat="1" ht="15" outlineLevel="1">
      <c r="A391" s="12">
        <v>297</v>
      </c>
      <c r="B391" s="1" t="s">
        <v>1</v>
      </c>
      <c r="C391" s="90">
        <f t="shared" si="172"/>
        <v>0</v>
      </c>
      <c r="D391" s="33"/>
      <c r="E391" s="33"/>
      <c r="F391" s="59"/>
      <c r="G391" s="93"/>
      <c r="H391" s="93"/>
      <c r="I391" s="93"/>
      <c r="J391" s="33"/>
      <c r="K391" s="33"/>
      <c r="L391" s="33"/>
      <c r="M391" s="33"/>
      <c r="N391" s="33"/>
      <c r="O391" s="33"/>
      <c r="P391" s="33"/>
      <c r="Q391" s="26"/>
    </row>
    <row r="392" spans="1:17" s="4" customFormat="1" ht="15" outlineLevel="1">
      <c r="A392" s="12">
        <v>298</v>
      </c>
      <c r="B392" s="1" t="s">
        <v>2</v>
      </c>
      <c r="C392" s="90">
        <f t="shared" si="172"/>
        <v>55986.5</v>
      </c>
      <c r="D392" s="33"/>
      <c r="E392" s="33"/>
      <c r="F392" s="59"/>
      <c r="G392" s="93"/>
      <c r="H392" s="93">
        <f>4342.3+10583.9</f>
        <v>14926.2</v>
      </c>
      <c r="I392" s="93">
        <v>41060.3</v>
      </c>
      <c r="J392" s="33"/>
      <c r="K392" s="33"/>
      <c r="L392" s="33"/>
      <c r="M392" s="33"/>
      <c r="N392" s="33"/>
      <c r="O392" s="33"/>
      <c r="P392" s="33"/>
      <c r="Q392" s="26"/>
    </row>
    <row r="393" spans="1:17" s="4" customFormat="1" ht="15" outlineLevel="1">
      <c r="A393" s="12">
        <v>299</v>
      </c>
      <c r="B393" s="1" t="s">
        <v>4</v>
      </c>
      <c r="C393" s="90">
        <f t="shared" si="172"/>
        <v>0</v>
      </c>
      <c r="D393" s="33"/>
      <c r="E393" s="33"/>
      <c r="F393" s="59"/>
      <c r="G393" s="93"/>
      <c r="H393" s="93"/>
      <c r="I393" s="93"/>
      <c r="J393" s="33"/>
      <c r="K393" s="33"/>
      <c r="L393" s="33"/>
      <c r="M393" s="33"/>
      <c r="N393" s="33"/>
      <c r="O393" s="33"/>
      <c r="P393" s="33"/>
      <c r="Q393" s="26"/>
    </row>
    <row r="394" spans="1:17" s="4" customFormat="1" ht="78" outlineLevel="1">
      <c r="A394" s="15" t="s">
        <v>153</v>
      </c>
      <c r="B394" s="1" t="s">
        <v>263</v>
      </c>
      <c r="C394" s="90">
        <f t="shared" si="172"/>
        <v>3433.8953399999996</v>
      </c>
      <c r="D394" s="154">
        <f aca="true" t="shared" si="187" ref="D394:J394">SUM(D395:D398)</f>
        <v>0</v>
      </c>
      <c r="E394" s="154">
        <f t="shared" si="187"/>
        <v>0</v>
      </c>
      <c r="F394" s="130">
        <f t="shared" si="187"/>
        <v>0</v>
      </c>
      <c r="G394" s="130">
        <f t="shared" si="187"/>
        <v>0</v>
      </c>
      <c r="H394" s="91">
        <f t="shared" si="187"/>
        <v>3338.2949999999996</v>
      </c>
      <c r="I394" s="67">
        <f t="shared" si="187"/>
        <v>95.60034</v>
      </c>
      <c r="J394" s="154">
        <f t="shared" si="187"/>
        <v>0</v>
      </c>
      <c r="K394" s="154">
        <f>SUM(K395:K398)</f>
        <v>0</v>
      </c>
      <c r="L394" s="154"/>
      <c r="M394" s="154"/>
      <c r="N394" s="154"/>
      <c r="O394" s="154"/>
      <c r="P394" s="154"/>
      <c r="Q394" s="26">
        <v>39</v>
      </c>
    </row>
    <row r="395" spans="1:17" s="4" customFormat="1" ht="15" outlineLevel="1">
      <c r="A395" s="12" t="s">
        <v>154</v>
      </c>
      <c r="B395" s="1" t="s">
        <v>3</v>
      </c>
      <c r="C395" s="90">
        <f t="shared" si="172"/>
        <v>674.59534</v>
      </c>
      <c r="D395" s="33"/>
      <c r="E395" s="33"/>
      <c r="F395" s="59"/>
      <c r="G395" s="59"/>
      <c r="H395" s="93">
        <v>578.995</v>
      </c>
      <c r="I395" s="69">
        <f>95.601-0.00066</f>
        <v>95.60034</v>
      </c>
      <c r="J395" s="33"/>
      <c r="K395" s="33"/>
      <c r="L395" s="33"/>
      <c r="M395" s="33"/>
      <c r="N395" s="33"/>
      <c r="O395" s="33"/>
      <c r="P395" s="33"/>
      <c r="Q395" s="26"/>
    </row>
    <row r="396" spans="1:17" s="4" customFormat="1" ht="15" outlineLevel="1">
      <c r="A396" s="12" t="s">
        <v>155</v>
      </c>
      <c r="B396" s="1" t="s">
        <v>1</v>
      </c>
      <c r="C396" s="90">
        <f t="shared" si="172"/>
        <v>0</v>
      </c>
      <c r="D396" s="33"/>
      <c r="E396" s="33"/>
      <c r="F396" s="59"/>
      <c r="G396" s="59"/>
      <c r="H396" s="93"/>
      <c r="I396" s="59"/>
      <c r="J396" s="33"/>
      <c r="K396" s="33"/>
      <c r="L396" s="33"/>
      <c r="M396" s="33"/>
      <c r="N396" s="33"/>
      <c r="O396" s="33"/>
      <c r="P396" s="33"/>
      <c r="Q396" s="26"/>
    </row>
    <row r="397" spans="1:17" s="4" customFormat="1" ht="15" outlineLevel="1">
      <c r="A397" s="12" t="s">
        <v>156</v>
      </c>
      <c r="B397" s="1" t="s">
        <v>2</v>
      </c>
      <c r="C397" s="90">
        <f t="shared" si="172"/>
        <v>2759.2999999999997</v>
      </c>
      <c r="D397" s="33"/>
      <c r="E397" s="33"/>
      <c r="F397" s="59"/>
      <c r="G397" s="59"/>
      <c r="H397" s="93">
        <f>2774.7-15.4</f>
        <v>2759.2999999999997</v>
      </c>
      <c r="I397" s="59"/>
      <c r="J397" s="33"/>
      <c r="K397" s="33"/>
      <c r="L397" s="33"/>
      <c r="M397" s="33"/>
      <c r="N397" s="33"/>
      <c r="O397" s="33"/>
      <c r="P397" s="33"/>
      <c r="Q397" s="26"/>
    </row>
    <row r="398" spans="1:17" s="4" customFormat="1" ht="15" outlineLevel="1">
      <c r="A398" s="12" t="s">
        <v>157</v>
      </c>
      <c r="B398" s="1" t="s">
        <v>4</v>
      </c>
      <c r="C398" s="90">
        <f t="shared" si="172"/>
        <v>0</v>
      </c>
      <c r="D398" s="33"/>
      <c r="E398" s="33"/>
      <c r="F398" s="59"/>
      <c r="G398" s="59"/>
      <c r="H398" s="93"/>
      <c r="I398" s="59"/>
      <c r="J398" s="33"/>
      <c r="K398" s="33"/>
      <c r="L398" s="33"/>
      <c r="M398" s="33"/>
      <c r="N398" s="33"/>
      <c r="O398" s="33"/>
      <c r="P398" s="33"/>
      <c r="Q398" s="26"/>
    </row>
    <row r="399" spans="1:17" s="4" customFormat="1" ht="78" outlineLevel="1">
      <c r="A399" s="15" t="s">
        <v>329</v>
      </c>
      <c r="B399" s="1" t="s">
        <v>420</v>
      </c>
      <c r="C399" s="90">
        <f t="shared" si="172"/>
        <v>42925.611500000006</v>
      </c>
      <c r="D399" s="154">
        <f aca="true" t="shared" si="188" ref="D399:J399">SUM(D400:D403)</f>
        <v>0</v>
      </c>
      <c r="E399" s="154">
        <f t="shared" si="188"/>
        <v>0</v>
      </c>
      <c r="F399" s="130">
        <f t="shared" si="188"/>
        <v>0</v>
      </c>
      <c r="G399" s="130">
        <f t="shared" si="188"/>
        <v>0</v>
      </c>
      <c r="H399" s="130">
        <f>SUM(H400:H403)</f>
        <v>0</v>
      </c>
      <c r="I399" s="91">
        <f>SUM(I400:I403)</f>
        <v>4158.5115000000005</v>
      </c>
      <c r="J399" s="91">
        <f t="shared" si="188"/>
        <v>38767.100000000006</v>
      </c>
      <c r="K399" s="154">
        <f>SUM(K400:K403)</f>
        <v>0</v>
      </c>
      <c r="L399" s="154"/>
      <c r="M399" s="154"/>
      <c r="N399" s="154"/>
      <c r="O399" s="154"/>
      <c r="P399" s="154"/>
      <c r="Q399" s="26" t="s">
        <v>334</v>
      </c>
    </row>
    <row r="400" spans="1:17" s="4" customFormat="1" ht="15" outlineLevel="1">
      <c r="A400" s="15" t="s">
        <v>330</v>
      </c>
      <c r="B400" s="1" t="s">
        <v>3</v>
      </c>
      <c r="C400" s="90">
        <f t="shared" si="172"/>
        <v>5347.811500000001</v>
      </c>
      <c r="D400" s="33"/>
      <c r="E400" s="33"/>
      <c r="F400" s="59"/>
      <c r="G400" s="59"/>
      <c r="H400" s="59"/>
      <c r="I400" s="93">
        <f>3780.465+378.0465</f>
        <v>4158.5115000000005</v>
      </c>
      <c r="J400" s="68">
        <v>1189.3</v>
      </c>
      <c r="K400" s="33"/>
      <c r="L400" s="33"/>
      <c r="M400" s="33"/>
      <c r="N400" s="33"/>
      <c r="O400" s="33"/>
      <c r="P400" s="33"/>
      <c r="Q400" s="26"/>
    </row>
    <row r="401" spans="1:17" s="4" customFormat="1" ht="15" outlineLevel="1">
      <c r="A401" s="15" t="s">
        <v>331</v>
      </c>
      <c r="B401" s="1" t="s">
        <v>1</v>
      </c>
      <c r="C401" s="90">
        <f t="shared" si="172"/>
        <v>0</v>
      </c>
      <c r="D401" s="33"/>
      <c r="E401" s="33"/>
      <c r="F401" s="59"/>
      <c r="G401" s="59"/>
      <c r="H401" s="59"/>
      <c r="I401" s="93"/>
      <c r="J401" s="68"/>
      <c r="K401" s="33"/>
      <c r="L401" s="33"/>
      <c r="M401" s="33"/>
      <c r="N401" s="33"/>
      <c r="O401" s="33"/>
      <c r="P401" s="33"/>
      <c r="Q401" s="26"/>
    </row>
    <row r="402" spans="1:17" s="4" customFormat="1" ht="15" outlineLevel="1">
      <c r="A402" s="15" t="s">
        <v>332</v>
      </c>
      <c r="B402" s="1" t="s">
        <v>2</v>
      </c>
      <c r="C402" s="90">
        <f t="shared" si="172"/>
        <v>37577.8</v>
      </c>
      <c r="D402" s="33"/>
      <c r="E402" s="33"/>
      <c r="F402" s="59"/>
      <c r="G402" s="59"/>
      <c r="H402" s="59"/>
      <c r="I402" s="93"/>
      <c r="J402" s="68">
        <v>37577.8</v>
      </c>
      <c r="K402" s="33"/>
      <c r="L402" s="33"/>
      <c r="M402" s="33"/>
      <c r="N402" s="33"/>
      <c r="O402" s="33"/>
      <c r="P402" s="33"/>
      <c r="Q402" s="26"/>
    </row>
    <row r="403" spans="1:17" s="4" customFormat="1" ht="15" outlineLevel="1">
      <c r="A403" s="15" t="s">
        <v>333</v>
      </c>
      <c r="B403" s="1" t="s">
        <v>4</v>
      </c>
      <c r="C403" s="90">
        <f t="shared" si="172"/>
        <v>0</v>
      </c>
      <c r="D403" s="33"/>
      <c r="E403" s="33"/>
      <c r="F403" s="59"/>
      <c r="G403" s="59"/>
      <c r="H403" s="59"/>
      <c r="I403" s="93"/>
      <c r="J403" s="68"/>
      <c r="K403" s="33"/>
      <c r="L403" s="33"/>
      <c r="M403" s="33"/>
      <c r="N403" s="33"/>
      <c r="O403" s="33"/>
      <c r="P403" s="33"/>
      <c r="Q403" s="26"/>
    </row>
    <row r="404" spans="1:17" s="4" customFormat="1" ht="78" outlineLevel="1">
      <c r="A404" s="15" t="s">
        <v>371</v>
      </c>
      <c r="B404" s="1" t="s">
        <v>381</v>
      </c>
      <c r="C404" s="90">
        <f t="shared" si="172"/>
        <v>4454.561</v>
      </c>
      <c r="D404" s="154">
        <f aca="true" t="shared" si="189" ref="D404:K404">SUM(D405:D408)</f>
        <v>0</v>
      </c>
      <c r="E404" s="154">
        <f t="shared" si="189"/>
        <v>0</v>
      </c>
      <c r="F404" s="130">
        <f t="shared" si="189"/>
        <v>0</v>
      </c>
      <c r="G404" s="130">
        <f t="shared" si="189"/>
        <v>0</v>
      </c>
      <c r="H404" s="130">
        <f t="shared" si="189"/>
        <v>0</v>
      </c>
      <c r="I404" s="130">
        <f t="shared" si="189"/>
        <v>0</v>
      </c>
      <c r="J404" s="66">
        <f t="shared" si="189"/>
        <v>4454.561</v>
      </c>
      <c r="K404" s="154">
        <f t="shared" si="189"/>
        <v>0</v>
      </c>
      <c r="L404" s="154"/>
      <c r="M404" s="154"/>
      <c r="N404" s="154"/>
      <c r="O404" s="154"/>
      <c r="P404" s="154"/>
      <c r="Q404" s="26"/>
    </row>
    <row r="405" spans="1:17" s="4" customFormat="1" ht="15" outlineLevel="1">
      <c r="A405" s="15" t="s">
        <v>372</v>
      </c>
      <c r="B405" s="1" t="s">
        <v>3</v>
      </c>
      <c r="C405" s="90">
        <f t="shared" si="172"/>
        <v>4454.561</v>
      </c>
      <c r="D405" s="33"/>
      <c r="E405" s="33"/>
      <c r="F405" s="59"/>
      <c r="G405" s="59"/>
      <c r="H405" s="59"/>
      <c r="I405" s="93"/>
      <c r="J405" s="68">
        <v>4454.561</v>
      </c>
      <c r="K405" s="33"/>
      <c r="L405" s="33"/>
      <c r="M405" s="33"/>
      <c r="N405" s="33"/>
      <c r="O405" s="33"/>
      <c r="P405" s="33"/>
      <c r="Q405" s="26"/>
    </row>
    <row r="406" spans="1:17" s="4" customFormat="1" ht="15" outlineLevel="1">
      <c r="A406" s="15" t="s">
        <v>373</v>
      </c>
      <c r="B406" s="1" t="s">
        <v>1</v>
      </c>
      <c r="C406" s="90">
        <f t="shared" si="172"/>
        <v>0</v>
      </c>
      <c r="D406" s="33"/>
      <c r="E406" s="33"/>
      <c r="F406" s="59"/>
      <c r="G406" s="59"/>
      <c r="H406" s="59"/>
      <c r="I406" s="93"/>
      <c r="J406" s="33"/>
      <c r="K406" s="33"/>
      <c r="L406" s="33"/>
      <c r="M406" s="33"/>
      <c r="N406" s="33"/>
      <c r="O406" s="33"/>
      <c r="P406" s="33"/>
      <c r="Q406" s="26"/>
    </row>
    <row r="407" spans="1:17" s="4" customFormat="1" ht="15" outlineLevel="1">
      <c r="A407" s="15" t="s">
        <v>374</v>
      </c>
      <c r="B407" s="1" t="s">
        <v>2</v>
      </c>
      <c r="C407" s="90">
        <f t="shared" si="172"/>
        <v>0</v>
      </c>
      <c r="D407" s="33"/>
      <c r="E407" s="33"/>
      <c r="F407" s="59"/>
      <c r="G407" s="59"/>
      <c r="H407" s="59"/>
      <c r="I407" s="93"/>
      <c r="J407" s="33"/>
      <c r="K407" s="33"/>
      <c r="L407" s="33"/>
      <c r="M407" s="33"/>
      <c r="N407" s="33"/>
      <c r="O407" s="33"/>
      <c r="P407" s="33"/>
      <c r="Q407" s="26"/>
    </row>
    <row r="408" spans="1:17" s="4" customFormat="1" ht="15" outlineLevel="1">
      <c r="A408" s="15" t="s">
        <v>375</v>
      </c>
      <c r="B408" s="1" t="s">
        <v>4</v>
      </c>
      <c r="C408" s="90">
        <f t="shared" si="172"/>
        <v>0</v>
      </c>
      <c r="D408" s="33"/>
      <c r="E408" s="33"/>
      <c r="F408" s="59"/>
      <c r="G408" s="59"/>
      <c r="H408" s="59"/>
      <c r="I408" s="93"/>
      <c r="J408" s="33"/>
      <c r="K408" s="33"/>
      <c r="L408" s="33"/>
      <c r="M408" s="33"/>
      <c r="N408" s="33"/>
      <c r="O408" s="33"/>
      <c r="P408" s="33"/>
      <c r="Q408" s="26"/>
    </row>
    <row r="409" spans="1:17" s="4" customFormat="1" ht="46.5" outlineLevel="1">
      <c r="A409" s="15" t="s">
        <v>388</v>
      </c>
      <c r="B409" s="1" t="s">
        <v>421</v>
      </c>
      <c r="C409" s="90">
        <f t="shared" si="172"/>
        <v>0</v>
      </c>
      <c r="D409" s="154">
        <f aca="true" t="shared" si="190" ref="D409:M409">SUM(D410:D413)</f>
        <v>0</v>
      </c>
      <c r="E409" s="154">
        <f t="shared" si="190"/>
        <v>0</v>
      </c>
      <c r="F409" s="130">
        <f t="shared" si="190"/>
        <v>0</v>
      </c>
      <c r="G409" s="130">
        <f t="shared" si="190"/>
        <v>0</v>
      </c>
      <c r="H409" s="130">
        <f t="shared" si="190"/>
        <v>0</v>
      </c>
      <c r="I409" s="130">
        <f t="shared" si="190"/>
        <v>0</v>
      </c>
      <c r="J409" s="130">
        <f t="shared" si="190"/>
        <v>0</v>
      </c>
      <c r="K409" s="154">
        <f t="shared" si="190"/>
        <v>0</v>
      </c>
      <c r="L409" s="154">
        <f t="shared" si="190"/>
        <v>0</v>
      </c>
      <c r="M409" s="154">
        <f t="shared" si="190"/>
        <v>0</v>
      </c>
      <c r="N409" s="154">
        <f>SUM(N410:N413)</f>
        <v>0</v>
      </c>
      <c r="O409" s="154">
        <f>SUM(O410:O413)</f>
        <v>0</v>
      </c>
      <c r="P409" s="154">
        <f>SUM(P410:P413)</f>
        <v>0</v>
      </c>
      <c r="Q409" s="26"/>
    </row>
    <row r="410" spans="1:17" s="4" customFormat="1" ht="15" outlineLevel="1">
      <c r="A410" s="15" t="s">
        <v>389</v>
      </c>
      <c r="B410" s="1" t="s">
        <v>3</v>
      </c>
      <c r="C410" s="90">
        <f t="shared" si="172"/>
        <v>0</v>
      </c>
      <c r="D410" s="33"/>
      <c r="E410" s="33"/>
      <c r="F410" s="59"/>
      <c r="G410" s="59"/>
      <c r="H410" s="59"/>
      <c r="I410" s="93"/>
      <c r="J410" s="68"/>
      <c r="K410" s="33"/>
      <c r="L410" s="33"/>
      <c r="M410" s="33"/>
      <c r="N410" s="33"/>
      <c r="O410" s="33"/>
      <c r="P410" s="33"/>
      <c r="Q410" s="26"/>
    </row>
    <row r="411" spans="1:17" s="4" customFormat="1" ht="15" outlineLevel="1">
      <c r="A411" s="15" t="s">
        <v>390</v>
      </c>
      <c r="B411" s="1" t="s">
        <v>1</v>
      </c>
      <c r="C411" s="90">
        <f t="shared" si="172"/>
        <v>0</v>
      </c>
      <c r="D411" s="33"/>
      <c r="E411" s="33"/>
      <c r="F411" s="59"/>
      <c r="G411" s="59"/>
      <c r="H411" s="59"/>
      <c r="I411" s="93"/>
      <c r="J411" s="33"/>
      <c r="K411" s="33"/>
      <c r="L411" s="33"/>
      <c r="M411" s="33"/>
      <c r="N411" s="33"/>
      <c r="O411" s="33"/>
      <c r="P411" s="33"/>
      <c r="Q411" s="26"/>
    </row>
    <row r="412" spans="1:17" s="4" customFormat="1" ht="15" outlineLevel="1">
      <c r="A412" s="15" t="s">
        <v>391</v>
      </c>
      <c r="B412" s="1" t="s">
        <v>2</v>
      </c>
      <c r="C412" s="90">
        <f t="shared" si="172"/>
        <v>0</v>
      </c>
      <c r="D412" s="33"/>
      <c r="E412" s="33"/>
      <c r="F412" s="59"/>
      <c r="G412" s="59"/>
      <c r="H412" s="59"/>
      <c r="I412" s="93"/>
      <c r="J412" s="33"/>
      <c r="K412" s="33"/>
      <c r="L412" s="33"/>
      <c r="M412" s="33"/>
      <c r="N412" s="33"/>
      <c r="O412" s="33"/>
      <c r="P412" s="33"/>
      <c r="Q412" s="26"/>
    </row>
    <row r="413" spans="1:17" s="4" customFormat="1" ht="15" outlineLevel="1">
      <c r="A413" s="15" t="s">
        <v>392</v>
      </c>
      <c r="B413" s="1" t="s">
        <v>4</v>
      </c>
      <c r="C413" s="90">
        <f t="shared" si="172"/>
        <v>0</v>
      </c>
      <c r="D413" s="33"/>
      <c r="E413" s="33"/>
      <c r="F413" s="59"/>
      <c r="G413" s="59"/>
      <c r="H413" s="59"/>
      <c r="I413" s="93"/>
      <c r="J413" s="68"/>
      <c r="K413" s="33"/>
      <c r="L413" s="33"/>
      <c r="M413" s="33"/>
      <c r="N413" s="33"/>
      <c r="O413" s="33"/>
      <c r="P413" s="33"/>
      <c r="Q413" s="26"/>
    </row>
    <row r="414" spans="1:17" s="4" customFormat="1" ht="109.5" outlineLevel="1">
      <c r="A414" s="15" t="s">
        <v>407</v>
      </c>
      <c r="B414" s="1" t="s">
        <v>432</v>
      </c>
      <c r="C414" s="90">
        <f t="shared" si="172"/>
        <v>2500</v>
      </c>
      <c r="D414" s="33"/>
      <c r="E414" s="33"/>
      <c r="F414" s="59"/>
      <c r="G414" s="59"/>
      <c r="H414" s="59"/>
      <c r="I414" s="93"/>
      <c r="J414" s="68"/>
      <c r="K414" s="66">
        <f>SUM(K415:K418)</f>
        <v>2500</v>
      </c>
      <c r="L414" s="33"/>
      <c r="M414" s="33"/>
      <c r="N414" s="33"/>
      <c r="O414" s="33"/>
      <c r="P414" s="33"/>
      <c r="Q414" s="26"/>
    </row>
    <row r="415" spans="1:17" s="4" customFormat="1" ht="15" outlineLevel="1">
      <c r="A415" s="15" t="s">
        <v>408</v>
      </c>
      <c r="B415" s="1" t="s">
        <v>3</v>
      </c>
      <c r="C415" s="90">
        <f t="shared" si="172"/>
        <v>2500</v>
      </c>
      <c r="D415" s="33"/>
      <c r="E415" s="33"/>
      <c r="F415" s="59"/>
      <c r="G415" s="59"/>
      <c r="H415" s="59"/>
      <c r="I415" s="93"/>
      <c r="J415" s="68"/>
      <c r="K415" s="68">
        <f>2000+500</f>
        <v>2500</v>
      </c>
      <c r="L415" s="33"/>
      <c r="M415" s="33"/>
      <c r="N415" s="33"/>
      <c r="O415" s="33"/>
      <c r="P415" s="33"/>
      <c r="Q415" s="26"/>
    </row>
    <row r="416" spans="1:17" s="4" customFormat="1" ht="15" outlineLevel="1">
      <c r="A416" s="15" t="s">
        <v>409</v>
      </c>
      <c r="B416" s="1" t="s">
        <v>1</v>
      </c>
      <c r="C416" s="90">
        <f t="shared" si="172"/>
        <v>0</v>
      </c>
      <c r="D416" s="33"/>
      <c r="E416" s="33"/>
      <c r="F416" s="59"/>
      <c r="G416" s="59"/>
      <c r="H416" s="59"/>
      <c r="I416" s="93"/>
      <c r="J416" s="68"/>
      <c r="K416" s="33"/>
      <c r="L416" s="33"/>
      <c r="M416" s="33"/>
      <c r="N416" s="33"/>
      <c r="O416" s="33"/>
      <c r="P416" s="33"/>
      <c r="Q416" s="26"/>
    </row>
    <row r="417" spans="1:17" s="4" customFormat="1" ht="15" outlineLevel="1">
      <c r="A417" s="15" t="s">
        <v>410</v>
      </c>
      <c r="B417" s="1" t="s">
        <v>2</v>
      </c>
      <c r="C417" s="90">
        <f t="shared" si="172"/>
        <v>0</v>
      </c>
      <c r="D417" s="33"/>
      <c r="E417" s="33"/>
      <c r="F417" s="59"/>
      <c r="G417" s="59"/>
      <c r="H417" s="59"/>
      <c r="I417" s="93"/>
      <c r="J417" s="68"/>
      <c r="K417" s="33"/>
      <c r="L417" s="33"/>
      <c r="M417" s="33"/>
      <c r="N417" s="33"/>
      <c r="O417" s="33"/>
      <c r="P417" s="33"/>
      <c r="Q417" s="26"/>
    </row>
    <row r="418" spans="1:17" s="4" customFormat="1" ht="15" outlineLevel="1">
      <c r="A418" s="15" t="s">
        <v>411</v>
      </c>
      <c r="B418" s="1" t="s">
        <v>4</v>
      </c>
      <c r="C418" s="90">
        <f t="shared" si="172"/>
        <v>0</v>
      </c>
      <c r="D418" s="33"/>
      <c r="E418" s="33"/>
      <c r="F418" s="59"/>
      <c r="G418" s="59"/>
      <c r="H418" s="59"/>
      <c r="I418" s="93"/>
      <c r="J418" s="68"/>
      <c r="K418" s="33"/>
      <c r="L418" s="33"/>
      <c r="M418" s="33"/>
      <c r="N418" s="33"/>
      <c r="O418" s="33"/>
      <c r="P418" s="33"/>
      <c r="Q418" s="26"/>
    </row>
    <row r="419" spans="1:17" s="4" customFormat="1" ht="46.5" outlineLevel="1">
      <c r="A419" s="15" t="s">
        <v>412</v>
      </c>
      <c r="B419" s="1" t="s">
        <v>422</v>
      </c>
      <c r="C419" s="90">
        <f t="shared" si="172"/>
        <v>2186.434</v>
      </c>
      <c r="D419" s="33"/>
      <c r="E419" s="33"/>
      <c r="F419" s="59"/>
      <c r="G419" s="59"/>
      <c r="H419" s="59"/>
      <c r="I419" s="93"/>
      <c r="J419" s="68"/>
      <c r="K419" s="66">
        <f>SUM(K420:K423)</f>
        <v>2186.434</v>
      </c>
      <c r="L419" s="33"/>
      <c r="M419" s="33"/>
      <c r="N419" s="33"/>
      <c r="O419" s="33"/>
      <c r="P419" s="33"/>
      <c r="Q419" s="26"/>
    </row>
    <row r="420" spans="1:17" s="4" customFormat="1" ht="15" outlineLevel="1">
      <c r="A420" s="15" t="s">
        <v>413</v>
      </c>
      <c r="B420" s="1" t="s">
        <v>3</v>
      </c>
      <c r="C420" s="90">
        <f t="shared" si="172"/>
        <v>2186.434</v>
      </c>
      <c r="D420" s="33"/>
      <c r="E420" s="33"/>
      <c r="F420" s="59"/>
      <c r="G420" s="59"/>
      <c r="H420" s="59"/>
      <c r="I420" s="93"/>
      <c r="J420" s="68"/>
      <c r="K420" s="68">
        <v>2186.434</v>
      </c>
      <c r="L420" s="33"/>
      <c r="M420" s="33"/>
      <c r="N420" s="33"/>
      <c r="O420" s="33"/>
      <c r="P420" s="33"/>
      <c r="Q420" s="26"/>
    </row>
    <row r="421" spans="1:17" s="4" customFormat="1" ht="15" outlineLevel="1">
      <c r="A421" s="15" t="s">
        <v>414</v>
      </c>
      <c r="B421" s="1" t="s">
        <v>1</v>
      </c>
      <c r="C421" s="90">
        <f t="shared" si="172"/>
        <v>0</v>
      </c>
      <c r="D421" s="33"/>
      <c r="E421" s="33"/>
      <c r="F421" s="59"/>
      <c r="G421" s="59"/>
      <c r="H421" s="59"/>
      <c r="I421" s="93"/>
      <c r="J421" s="68"/>
      <c r="K421" s="33"/>
      <c r="L421" s="33"/>
      <c r="M421" s="33"/>
      <c r="N421" s="33"/>
      <c r="O421" s="33"/>
      <c r="P421" s="33"/>
      <c r="Q421" s="26"/>
    </row>
    <row r="422" spans="1:17" s="4" customFormat="1" ht="15" outlineLevel="1">
      <c r="A422" s="15" t="s">
        <v>415</v>
      </c>
      <c r="B422" s="1" t="s">
        <v>2</v>
      </c>
      <c r="C422" s="90">
        <f t="shared" si="172"/>
        <v>0</v>
      </c>
      <c r="D422" s="33"/>
      <c r="E422" s="33"/>
      <c r="F422" s="59"/>
      <c r="G422" s="59"/>
      <c r="H422" s="59"/>
      <c r="I422" s="93"/>
      <c r="J422" s="68"/>
      <c r="K422" s="33"/>
      <c r="L422" s="33"/>
      <c r="M422" s="33"/>
      <c r="N422" s="33"/>
      <c r="O422" s="33"/>
      <c r="P422" s="33"/>
      <c r="Q422" s="26"/>
    </row>
    <row r="423" spans="1:17" s="4" customFormat="1" ht="15" outlineLevel="1">
      <c r="A423" s="15" t="s">
        <v>416</v>
      </c>
      <c r="B423" s="1" t="s">
        <v>4</v>
      </c>
      <c r="C423" s="90">
        <f t="shared" si="172"/>
        <v>0</v>
      </c>
      <c r="D423" s="33"/>
      <c r="E423" s="33"/>
      <c r="F423" s="59"/>
      <c r="G423" s="59"/>
      <c r="H423" s="59"/>
      <c r="I423" s="93"/>
      <c r="J423" s="68"/>
      <c r="K423" s="33"/>
      <c r="L423" s="33"/>
      <c r="M423" s="33"/>
      <c r="N423" s="33"/>
      <c r="O423" s="33"/>
      <c r="P423" s="33"/>
      <c r="Q423" s="26"/>
    </row>
    <row r="424" spans="1:17" s="4" customFormat="1" ht="46.5" outlineLevel="1">
      <c r="A424" s="15" t="s">
        <v>435</v>
      </c>
      <c r="B424" s="16" t="s">
        <v>440</v>
      </c>
      <c r="C424" s="90">
        <f t="shared" si="172"/>
        <v>120674.02</v>
      </c>
      <c r="D424" s="33"/>
      <c r="E424" s="33"/>
      <c r="F424" s="59"/>
      <c r="G424" s="59"/>
      <c r="H424" s="59"/>
      <c r="I424" s="93"/>
      <c r="J424" s="68"/>
      <c r="K424" s="33"/>
      <c r="L424" s="66">
        <f>SUM(L425:L428)</f>
        <v>120674.02</v>
      </c>
      <c r="M424" s="33"/>
      <c r="N424" s="33"/>
      <c r="O424" s="33"/>
      <c r="P424" s="33"/>
      <c r="Q424" s="26"/>
    </row>
    <row r="425" spans="1:17" s="4" customFormat="1" ht="15" outlineLevel="1">
      <c r="A425" s="15" t="s">
        <v>436</v>
      </c>
      <c r="B425" s="1" t="s">
        <v>3</v>
      </c>
      <c r="C425" s="90">
        <f t="shared" si="172"/>
        <v>0</v>
      </c>
      <c r="D425" s="33"/>
      <c r="E425" s="33"/>
      <c r="F425" s="59"/>
      <c r="G425" s="59"/>
      <c r="H425" s="59"/>
      <c r="I425" s="93"/>
      <c r="J425" s="68"/>
      <c r="K425" s="33"/>
      <c r="L425" s="33"/>
      <c r="M425" s="33"/>
      <c r="N425" s="33"/>
      <c r="O425" s="33"/>
      <c r="P425" s="33"/>
      <c r="Q425" s="26"/>
    </row>
    <row r="426" spans="1:17" s="4" customFormat="1" ht="15" outlineLevel="1">
      <c r="A426" s="15" t="s">
        <v>437</v>
      </c>
      <c r="B426" s="1" t="s">
        <v>1</v>
      </c>
      <c r="C426" s="90">
        <f t="shared" si="172"/>
        <v>0</v>
      </c>
      <c r="D426" s="33"/>
      <c r="E426" s="33"/>
      <c r="F426" s="59"/>
      <c r="G426" s="59"/>
      <c r="H426" s="59"/>
      <c r="I426" s="93"/>
      <c r="J426" s="68"/>
      <c r="K426" s="33"/>
      <c r="L426" s="33"/>
      <c r="M426" s="33"/>
      <c r="N426" s="33"/>
      <c r="O426" s="33"/>
      <c r="P426" s="33"/>
      <c r="Q426" s="26"/>
    </row>
    <row r="427" spans="1:17" s="4" customFormat="1" ht="15" outlineLevel="1">
      <c r="A427" s="15" t="s">
        <v>438</v>
      </c>
      <c r="B427" s="1" t="s">
        <v>2</v>
      </c>
      <c r="C427" s="90">
        <f t="shared" si="172"/>
        <v>0</v>
      </c>
      <c r="D427" s="33"/>
      <c r="E427" s="33"/>
      <c r="F427" s="59"/>
      <c r="G427" s="59"/>
      <c r="H427" s="59"/>
      <c r="I427" s="93"/>
      <c r="J427" s="68"/>
      <c r="K427" s="33"/>
      <c r="L427" s="33"/>
      <c r="M427" s="33"/>
      <c r="N427" s="33"/>
      <c r="O427" s="33"/>
      <c r="P427" s="33"/>
      <c r="Q427" s="26"/>
    </row>
    <row r="428" spans="1:17" s="4" customFormat="1" ht="15" outlineLevel="1">
      <c r="A428" s="15" t="s">
        <v>439</v>
      </c>
      <c r="B428" s="1" t="s">
        <v>4</v>
      </c>
      <c r="C428" s="90">
        <f t="shared" si="172"/>
        <v>120674.02</v>
      </c>
      <c r="D428" s="33"/>
      <c r="E428" s="33"/>
      <c r="F428" s="59"/>
      <c r="G428" s="59"/>
      <c r="H428" s="59"/>
      <c r="I428" s="93"/>
      <c r="J428" s="68"/>
      <c r="K428" s="33"/>
      <c r="L428" s="68">
        <v>120674.02</v>
      </c>
      <c r="M428" s="33"/>
      <c r="N428" s="33"/>
      <c r="O428" s="33"/>
      <c r="P428" s="33"/>
      <c r="Q428" s="26"/>
    </row>
    <row r="429" spans="1:17" s="4" customFormat="1" ht="15" outlineLevel="1">
      <c r="A429" s="12">
        <v>300</v>
      </c>
      <c r="B429" s="292" t="s">
        <v>363</v>
      </c>
      <c r="C429" s="292"/>
      <c r="D429" s="292"/>
      <c r="E429" s="292"/>
      <c r="F429" s="292"/>
      <c r="G429" s="292"/>
      <c r="H429" s="292"/>
      <c r="I429" s="292"/>
      <c r="J429" s="292"/>
      <c r="K429" s="292"/>
      <c r="L429" s="292"/>
      <c r="M429" s="292"/>
      <c r="N429" s="292"/>
      <c r="O429" s="292"/>
      <c r="P429" s="292"/>
      <c r="Q429" s="292"/>
    </row>
    <row r="430" spans="1:17" s="4" customFormat="1" ht="15" outlineLevel="1">
      <c r="A430" s="12">
        <v>301</v>
      </c>
      <c r="B430" s="1" t="s">
        <v>107</v>
      </c>
      <c r="C430" s="90">
        <f t="shared" si="172"/>
        <v>364491.21608999994</v>
      </c>
      <c r="D430" s="66">
        <f aca="true" t="shared" si="191" ref="D430:I430">SUM(D431:D434)</f>
        <v>29966</v>
      </c>
      <c r="E430" s="66">
        <f t="shared" si="191"/>
        <v>35577</v>
      </c>
      <c r="F430" s="67">
        <f t="shared" si="191"/>
        <v>37130.38</v>
      </c>
      <c r="G430" s="67">
        <f t="shared" si="191"/>
        <v>38225.8</v>
      </c>
      <c r="H430" s="67">
        <f t="shared" si="191"/>
        <v>43542.857800000005</v>
      </c>
      <c r="I430" s="67">
        <f t="shared" si="191"/>
        <v>34484.77829</v>
      </c>
      <c r="J430" s="66">
        <f aca="true" t="shared" si="192" ref="J430:P430">SUM(J431:J434)</f>
        <v>37167.9</v>
      </c>
      <c r="K430" s="66">
        <f t="shared" si="192"/>
        <v>35058.9</v>
      </c>
      <c r="L430" s="66">
        <f t="shared" si="192"/>
        <v>36175.8</v>
      </c>
      <c r="M430" s="66">
        <f t="shared" si="192"/>
        <v>37161.8</v>
      </c>
      <c r="N430" s="66">
        <f t="shared" si="192"/>
        <v>0</v>
      </c>
      <c r="O430" s="66">
        <f t="shared" si="192"/>
        <v>0</v>
      </c>
      <c r="P430" s="66">
        <f t="shared" si="192"/>
        <v>0</v>
      </c>
      <c r="Q430" s="26" t="s">
        <v>67</v>
      </c>
    </row>
    <row r="431" spans="1:17" s="4" customFormat="1" ht="15" outlineLevel="1">
      <c r="A431" s="12">
        <v>302</v>
      </c>
      <c r="B431" s="1" t="s">
        <v>3</v>
      </c>
      <c r="C431" s="90">
        <f t="shared" si="172"/>
        <v>1516.21609</v>
      </c>
      <c r="D431" s="113">
        <f aca="true" t="shared" si="193" ref="D431:I434">SUM(D437)</f>
        <v>130</v>
      </c>
      <c r="E431" s="113">
        <f t="shared" si="193"/>
        <v>137</v>
      </c>
      <c r="F431" s="69">
        <f t="shared" si="193"/>
        <v>141.28</v>
      </c>
      <c r="G431" s="69">
        <f t="shared" si="193"/>
        <v>142</v>
      </c>
      <c r="H431" s="69">
        <f t="shared" si="193"/>
        <v>153.5578</v>
      </c>
      <c r="I431" s="69">
        <f t="shared" si="193"/>
        <v>152.37829</v>
      </c>
      <c r="J431" s="68">
        <f aca="true" t="shared" si="194" ref="J431:K434">SUM(J437)</f>
        <v>165</v>
      </c>
      <c r="K431" s="68">
        <f t="shared" si="194"/>
        <v>165</v>
      </c>
      <c r="L431" s="68">
        <f aca="true" t="shared" si="195" ref="L431:M434">SUM(L437)</f>
        <v>165</v>
      </c>
      <c r="M431" s="68">
        <f t="shared" si="195"/>
        <v>165</v>
      </c>
      <c r="N431" s="68">
        <f aca="true" t="shared" si="196" ref="N431:P434">SUM(N437)</f>
        <v>0</v>
      </c>
      <c r="O431" s="68">
        <f t="shared" si="196"/>
        <v>0</v>
      </c>
      <c r="P431" s="68">
        <f t="shared" si="196"/>
        <v>0</v>
      </c>
      <c r="Q431" s="26" t="s">
        <v>67</v>
      </c>
    </row>
    <row r="432" spans="1:17" s="4" customFormat="1" ht="15" outlineLevel="1">
      <c r="A432" s="12">
        <v>303</v>
      </c>
      <c r="B432" s="1" t="s">
        <v>1</v>
      </c>
      <c r="C432" s="90">
        <f t="shared" si="172"/>
        <v>73408.40000000001</v>
      </c>
      <c r="D432" s="113">
        <f t="shared" si="193"/>
        <v>7078</v>
      </c>
      <c r="E432" s="113">
        <f t="shared" si="193"/>
        <v>8669</v>
      </c>
      <c r="F432" s="69">
        <f t="shared" si="193"/>
        <v>9302</v>
      </c>
      <c r="G432" s="69">
        <f t="shared" si="193"/>
        <v>7319</v>
      </c>
      <c r="H432" s="69">
        <f t="shared" si="193"/>
        <v>6651.5</v>
      </c>
      <c r="I432" s="69">
        <f t="shared" si="193"/>
        <v>6749.2</v>
      </c>
      <c r="J432" s="68">
        <f t="shared" si="194"/>
        <v>7300</v>
      </c>
      <c r="K432" s="68">
        <f t="shared" si="194"/>
        <v>6780.5</v>
      </c>
      <c r="L432" s="68">
        <f t="shared" si="195"/>
        <v>6779.6</v>
      </c>
      <c r="M432" s="68">
        <f t="shared" si="195"/>
        <v>6779.6</v>
      </c>
      <c r="N432" s="68">
        <f t="shared" si="196"/>
        <v>0</v>
      </c>
      <c r="O432" s="68">
        <f t="shared" si="196"/>
        <v>0</v>
      </c>
      <c r="P432" s="68">
        <f t="shared" si="196"/>
        <v>0</v>
      </c>
      <c r="Q432" s="26" t="s">
        <v>67</v>
      </c>
    </row>
    <row r="433" spans="1:17" s="4" customFormat="1" ht="15" outlineLevel="1">
      <c r="A433" s="12">
        <v>304</v>
      </c>
      <c r="B433" s="1" t="s">
        <v>2</v>
      </c>
      <c r="C433" s="90">
        <f aca="true" t="shared" si="197" ref="C433:C496">SUM(D433:P433)</f>
        <v>289566.60000000003</v>
      </c>
      <c r="D433" s="113">
        <f t="shared" si="193"/>
        <v>22758</v>
      </c>
      <c r="E433" s="113">
        <f t="shared" si="193"/>
        <v>26771</v>
      </c>
      <c r="F433" s="69">
        <f t="shared" si="193"/>
        <v>27687.1</v>
      </c>
      <c r="G433" s="69">
        <f t="shared" si="193"/>
        <v>30764.8</v>
      </c>
      <c r="H433" s="69">
        <f t="shared" si="193"/>
        <v>36737.8</v>
      </c>
      <c r="I433" s="69">
        <f t="shared" si="193"/>
        <v>27583.2</v>
      </c>
      <c r="J433" s="68">
        <f t="shared" si="194"/>
        <v>29702.9</v>
      </c>
      <c r="K433" s="68">
        <f t="shared" si="194"/>
        <v>28113.4</v>
      </c>
      <c r="L433" s="68">
        <f t="shared" si="195"/>
        <v>29231.2</v>
      </c>
      <c r="M433" s="68">
        <f t="shared" si="195"/>
        <v>30217.2</v>
      </c>
      <c r="N433" s="68">
        <f t="shared" si="196"/>
        <v>0</v>
      </c>
      <c r="O433" s="68">
        <f t="shared" si="196"/>
        <v>0</v>
      </c>
      <c r="P433" s="68">
        <f t="shared" si="196"/>
        <v>0</v>
      </c>
      <c r="Q433" s="26" t="s">
        <v>67</v>
      </c>
    </row>
    <row r="434" spans="1:17" s="4" customFormat="1" ht="15" outlineLevel="1">
      <c r="A434" s="12">
        <v>305</v>
      </c>
      <c r="B434" s="29" t="s">
        <v>4</v>
      </c>
      <c r="C434" s="90">
        <f t="shared" si="197"/>
        <v>0</v>
      </c>
      <c r="D434" s="113">
        <f t="shared" si="193"/>
        <v>0</v>
      </c>
      <c r="E434" s="113">
        <f t="shared" si="193"/>
        <v>0</v>
      </c>
      <c r="F434" s="69">
        <f t="shared" si="193"/>
        <v>0</v>
      </c>
      <c r="G434" s="69">
        <f t="shared" si="193"/>
        <v>0</v>
      </c>
      <c r="H434" s="69">
        <f t="shared" si="193"/>
        <v>0</v>
      </c>
      <c r="I434" s="69">
        <f t="shared" si="193"/>
        <v>0</v>
      </c>
      <c r="J434" s="68">
        <f t="shared" si="194"/>
        <v>0</v>
      </c>
      <c r="K434" s="68">
        <f t="shared" si="194"/>
        <v>0</v>
      </c>
      <c r="L434" s="68">
        <f t="shared" si="195"/>
        <v>0</v>
      </c>
      <c r="M434" s="68">
        <f t="shared" si="195"/>
        <v>0</v>
      </c>
      <c r="N434" s="68">
        <f t="shared" si="196"/>
        <v>0</v>
      </c>
      <c r="O434" s="68">
        <f t="shared" si="196"/>
        <v>0</v>
      </c>
      <c r="P434" s="68">
        <f t="shared" si="196"/>
        <v>0</v>
      </c>
      <c r="Q434" s="30" t="s">
        <v>67</v>
      </c>
    </row>
    <row r="435" spans="1:17" s="4" customFormat="1" ht="15" outlineLevel="1">
      <c r="A435" s="12">
        <v>306</v>
      </c>
      <c r="B435" s="257" t="s">
        <v>70</v>
      </c>
      <c r="C435" s="257"/>
      <c r="D435" s="257"/>
      <c r="E435" s="257"/>
      <c r="F435" s="257"/>
      <c r="G435" s="257"/>
      <c r="H435" s="257"/>
      <c r="I435" s="257"/>
      <c r="J435" s="257"/>
      <c r="K435" s="257"/>
      <c r="L435" s="257"/>
      <c r="M435" s="257"/>
      <c r="N435" s="257"/>
      <c r="O435" s="257"/>
      <c r="P435" s="257"/>
      <c r="Q435" s="257"/>
    </row>
    <row r="436" spans="1:17" s="4" customFormat="1" ht="30.75" outlineLevel="1">
      <c r="A436" s="12">
        <v>307</v>
      </c>
      <c r="B436" s="1" t="s">
        <v>71</v>
      </c>
      <c r="C436" s="90">
        <f t="shared" si="197"/>
        <v>364491.21608999994</v>
      </c>
      <c r="D436" s="119">
        <f aca="true" t="shared" si="198" ref="D436:I436">SUM(D437:D440)</f>
        <v>29966</v>
      </c>
      <c r="E436" s="119">
        <f t="shared" si="198"/>
        <v>35577</v>
      </c>
      <c r="F436" s="120">
        <f t="shared" si="198"/>
        <v>37130.38</v>
      </c>
      <c r="G436" s="120">
        <f t="shared" si="198"/>
        <v>38225.8</v>
      </c>
      <c r="H436" s="120">
        <f t="shared" si="198"/>
        <v>43542.857800000005</v>
      </c>
      <c r="I436" s="120">
        <f t="shared" si="198"/>
        <v>34484.77829</v>
      </c>
      <c r="J436" s="119">
        <f aca="true" t="shared" si="199" ref="J436:P436">SUM(J437:J440)</f>
        <v>37167.9</v>
      </c>
      <c r="K436" s="119">
        <f t="shared" si="199"/>
        <v>35058.9</v>
      </c>
      <c r="L436" s="119">
        <f t="shared" si="199"/>
        <v>36175.8</v>
      </c>
      <c r="M436" s="119">
        <f t="shared" si="199"/>
        <v>37161.8</v>
      </c>
      <c r="N436" s="119">
        <f t="shared" si="199"/>
        <v>0</v>
      </c>
      <c r="O436" s="119">
        <f t="shared" si="199"/>
        <v>0</v>
      </c>
      <c r="P436" s="119">
        <f t="shared" si="199"/>
        <v>0</v>
      </c>
      <c r="Q436" s="1"/>
    </row>
    <row r="437" spans="1:17" s="4" customFormat="1" ht="15" outlineLevel="1">
      <c r="A437" s="12">
        <v>308</v>
      </c>
      <c r="B437" s="1" t="s">
        <v>3</v>
      </c>
      <c r="C437" s="90">
        <f t="shared" si="197"/>
        <v>1516.21609</v>
      </c>
      <c r="D437" s="217">
        <f aca="true" t="shared" si="200" ref="D437:I440">SUM(D442,D447,D452,D457,D462)</f>
        <v>130</v>
      </c>
      <c r="E437" s="217">
        <f t="shared" si="200"/>
        <v>137</v>
      </c>
      <c r="F437" s="218">
        <f t="shared" si="200"/>
        <v>141.28</v>
      </c>
      <c r="G437" s="218">
        <f t="shared" si="200"/>
        <v>142</v>
      </c>
      <c r="H437" s="218">
        <f t="shared" si="200"/>
        <v>153.5578</v>
      </c>
      <c r="I437" s="218">
        <f t="shared" si="200"/>
        <v>152.37829</v>
      </c>
      <c r="J437" s="219">
        <f aca="true" t="shared" si="201" ref="J437:K440">SUM(J442,J447,J452,J457,J462)</f>
        <v>165</v>
      </c>
      <c r="K437" s="219">
        <f t="shared" si="201"/>
        <v>165</v>
      </c>
      <c r="L437" s="219">
        <f aca="true" t="shared" si="202" ref="L437:M440">SUM(L442,L447,L452,L457,L462)</f>
        <v>165</v>
      </c>
      <c r="M437" s="219">
        <f t="shared" si="202"/>
        <v>165</v>
      </c>
      <c r="N437" s="219">
        <f aca="true" t="shared" si="203" ref="N437:P440">SUM(N442,N447,N452,N457,N462)</f>
        <v>0</v>
      </c>
      <c r="O437" s="219">
        <f t="shared" si="203"/>
        <v>0</v>
      </c>
      <c r="P437" s="219">
        <f t="shared" si="203"/>
        <v>0</v>
      </c>
      <c r="Q437" s="1"/>
    </row>
    <row r="438" spans="1:17" s="4" customFormat="1" ht="15" outlineLevel="1">
      <c r="A438" s="12">
        <v>309</v>
      </c>
      <c r="B438" s="1" t="s">
        <v>1</v>
      </c>
      <c r="C438" s="90">
        <f t="shared" si="197"/>
        <v>73408.40000000001</v>
      </c>
      <c r="D438" s="217">
        <f t="shared" si="200"/>
        <v>7078</v>
      </c>
      <c r="E438" s="217">
        <f t="shared" si="200"/>
        <v>8669</v>
      </c>
      <c r="F438" s="218">
        <f t="shared" si="200"/>
        <v>9302</v>
      </c>
      <c r="G438" s="218">
        <f t="shared" si="200"/>
        <v>7319</v>
      </c>
      <c r="H438" s="218">
        <f t="shared" si="200"/>
        <v>6651.5</v>
      </c>
      <c r="I438" s="218">
        <f t="shared" si="200"/>
        <v>6749.2</v>
      </c>
      <c r="J438" s="219">
        <f t="shared" si="201"/>
        <v>7300</v>
      </c>
      <c r="K438" s="219">
        <f t="shared" si="201"/>
        <v>6780.5</v>
      </c>
      <c r="L438" s="219">
        <f t="shared" si="202"/>
        <v>6779.6</v>
      </c>
      <c r="M438" s="219">
        <f t="shared" si="202"/>
        <v>6779.6</v>
      </c>
      <c r="N438" s="219">
        <f t="shared" si="203"/>
        <v>0</v>
      </c>
      <c r="O438" s="219">
        <f t="shared" si="203"/>
        <v>0</v>
      </c>
      <c r="P438" s="219">
        <f t="shared" si="203"/>
        <v>0</v>
      </c>
      <c r="Q438" s="1"/>
    </row>
    <row r="439" spans="1:17" s="4" customFormat="1" ht="15" outlineLevel="1">
      <c r="A439" s="12">
        <v>310</v>
      </c>
      <c r="B439" s="1" t="s">
        <v>2</v>
      </c>
      <c r="C439" s="90">
        <f t="shared" si="197"/>
        <v>289566.60000000003</v>
      </c>
      <c r="D439" s="217">
        <f t="shared" si="200"/>
        <v>22758</v>
      </c>
      <c r="E439" s="217">
        <f t="shared" si="200"/>
        <v>26771</v>
      </c>
      <c r="F439" s="218">
        <f t="shared" si="200"/>
        <v>27687.1</v>
      </c>
      <c r="G439" s="218">
        <f t="shared" si="200"/>
        <v>30764.8</v>
      </c>
      <c r="H439" s="218">
        <f t="shared" si="200"/>
        <v>36737.8</v>
      </c>
      <c r="I439" s="218">
        <f t="shared" si="200"/>
        <v>27583.2</v>
      </c>
      <c r="J439" s="219">
        <f t="shared" si="201"/>
        <v>29702.9</v>
      </c>
      <c r="K439" s="219">
        <f t="shared" si="201"/>
        <v>28113.4</v>
      </c>
      <c r="L439" s="219">
        <f t="shared" si="202"/>
        <v>29231.2</v>
      </c>
      <c r="M439" s="219">
        <f t="shared" si="202"/>
        <v>30217.2</v>
      </c>
      <c r="N439" s="219">
        <f t="shared" si="203"/>
        <v>0</v>
      </c>
      <c r="O439" s="219">
        <f t="shared" si="203"/>
        <v>0</v>
      </c>
      <c r="P439" s="219">
        <f t="shared" si="203"/>
        <v>0</v>
      </c>
      <c r="Q439" s="1"/>
    </row>
    <row r="440" spans="1:17" s="4" customFormat="1" ht="15" outlineLevel="1">
      <c r="A440" s="12">
        <v>311</v>
      </c>
      <c r="B440" s="29" t="s">
        <v>4</v>
      </c>
      <c r="C440" s="90">
        <f t="shared" si="197"/>
        <v>0</v>
      </c>
      <c r="D440" s="217">
        <f t="shared" si="200"/>
        <v>0</v>
      </c>
      <c r="E440" s="217">
        <f t="shared" si="200"/>
        <v>0</v>
      </c>
      <c r="F440" s="218">
        <f t="shared" si="200"/>
        <v>0</v>
      </c>
      <c r="G440" s="218">
        <f t="shared" si="200"/>
        <v>0</v>
      </c>
      <c r="H440" s="218">
        <f t="shared" si="200"/>
        <v>0</v>
      </c>
      <c r="I440" s="218">
        <f t="shared" si="200"/>
        <v>0</v>
      </c>
      <c r="J440" s="219">
        <f t="shared" si="201"/>
        <v>0</v>
      </c>
      <c r="K440" s="219">
        <f t="shared" si="201"/>
        <v>0</v>
      </c>
      <c r="L440" s="219">
        <f t="shared" si="202"/>
        <v>0</v>
      </c>
      <c r="M440" s="219">
        <f t="shared" si="202"/>
        <v>0</v>
      </c>
      <c r="N440" s="219">
        <f t="shared" si="203"/>
        <v>0</v>
      </c>
      <c r="O440" s="219">
        <f t="shared" si="203"/>
        <v>0</v>
      </c>
      <c r="P440" s="219">
        <f t="shared" si="203"/>
        <v>0</v>
      </c>
      <c r="Q440" s="1"/>
    </row>
    <row r="441" spans="1:17" s="4" customFormat="1" ht="68.25" customHeight="1" outlineLevel="1">
      <c r="A441" s="12">
        <v>312</v>
      </c>
      <c r="B441" s="1" t="s">
        <v>108</v>
      </c>
      <c r="C441" s="90">
        <f t="shared" si="197"/>
        <v>157002.40000000002</v>
      </c>
      <c r="D441" s="121">
        <f aca="true" t="shared" si="204" ref="D441:M441">SUM(D442:D445)</f>
        <v>11862</v>
      </c>
      <c r="E441" s="121">
        <f t="shared" si="204"/>
        <v>15275</v>
      </c>
      <c r="F441" s="140">
        <f t="shared" si="204"/>
        <v>15393</v>
      </c>
      <c r="G441" s="140">
        <f t="shared" si="204"/>
        <v>17344</v>
      </c>
      <c r="H441" s="140">
        <f t="shared" si="204"/>
        <v>22773</v>
      </c>
      <c r="I441" s="140">
        <f t="shared" si="204"/>
        <v>13712.6</v>
      </c>
      <c r="J441" s="160">
        <f t="shared" si="204"/>
        <v>15828.4</v>
      </c>
      <c r="K441" s="160">
        <f t="shared" si="204"/>
        <v>14356.2</v>
      </c>
      <c r="L441" s="160">
        <f t="shared" si="204"/>
        <v>14930.5</v>
      </c>
      <c r="M441" s="160">
        <f t="shared" si="204"/>
        <v>15527.7</v>
      </c>
      <c r="N441" s="160">
        <f>SUM(N442:N445)</f>
        <v>0</v>
      </c>
      <c r="O441" s="160">
        <f>SUM(O442:O445)</f>
        <v>0</v>
      </c>
      <c r="P441" s="160">
        <f>SUM(P442:P445)</f>
        <v>0</v>
      </c>
      <c r="Q441" s="26">
        <v>43</v>
      </c>
    </row>
    <row r="442" spans="1:17" s="4" customFormat="1" ht="15" outlineLevel="1">
      <c r="A442" s="12">
        <v>313</v>
      </c>
      <c r="B442" s="1" t="s">
        <v>3</v>
      </c>
      <c r="C442" s="90">
        <f t="shared" si="197"/>
        <v>0</v>
      </c>
      <c r="D442" s="28"/>
      <c r="E442" s="28"/>
      <c r="F442" s="59"/>
      <c r="G442" s="59">
        <v>0</v>
      </c>
      <c r="H442" s="59">
        <v>0</v>
      </c>
      <c r="I442" s="59">
        <v>0</v>
      </c>
      <c r="J442" s="33"/>
      <c r="K442" s="33"/>
      <c r="L442" s="33"/>
      <c r="M442" s="33"/>
      <c r="N442" s="33"/>
      <c r="O442" s="33"/>
      <c r="P442" s="33"/>
      <c r="Q442" s="26"/>
    </row>
    <row r="443" spans="1:17" s="4" customFormat="1" ht="15" outlineLevel="1">
      <c r="A443" s="12">
        <v>314</v>
      </c>
      <c r="B443" s="1" t="s">
        <v>1</v>
      </c>
      <c r="C443" s="90">
        <f t="shared" si="197"/>
        <v>0</v>
      </c>
      <c r="D443" s="28"/>
      <c r="E443" s="28"/>
      <c r="F443" s="59"/>
      <c r="G443" s="59">
        <v>0</v>
      </c>
      <c r="H443" s="59">
        <v>0</v>
      </c>
      <c r="I443" s="59">
        <v>0</v>
      </c>
      <c r="J443" s="33"/>
      <c r="K443" s="33"/>
      <c r="L443" s="33"/>
      <c r="M443" s="33"/>
      <c r="N443" s="33"/>
      <c r="O443" s="33"/>
      <c r="P443" s="33"/>
      <c r="Q443" s="26"/>
    </row>
    <row r="444" spans="1:17" s="4" customFormat="1" ht="15" outlineLevel="1">
      <c r="A444" s="12">
        <v>315</v>
      </c>
      <c r="B444" s="1" t="s">
        <v>2</v>
      </c>
      <c r="C444" s="90">
        <f t="shared" si="197"/>
        <v>157002.40000000002</v>
      </c>
      <c r="D444" s="113">
        <v>11862</v>
      </c>
      <c r="E444" s="113">
        <v>15275</v>
      </c>
      <c r="F444" s="69">
        <f>10393+5000</f>
        <v>15393</v>
      </c>
      <c r="G444" s="69">
        <v>17344</v>
      </c>
      <c r="H444" s="69">
        <v>22773</v>
      </c>
      <c r="I444" s="69">
        <f>13712.6</f>
        <v>13712.6</v>
      </c>
      <c r="J444" s="68">
        <v>15828.4</v>
      </c>
      <c r="K444" s="68">
        <v>14356.2</v>
      </c>
      <c r="L444" s="68">
        <v>14930.5</v>
      </c>
      <c r="M444" s="68">
        <v>15527.7</v>
      </c>
      <c r="N444" s="68"/>
      <c r="O444" s="68"/>
      <c r="P444" s="68"/>
      <c r="Q444" s="26"/>
    </row>
    <row r="445" spans="1:17" s="4" customFormat="1" ht="15" outlineLevel="1">
      <c r="A445" s="12">
        <v>316</v>
      </c>
      <c r="B445" s="1" t="s">
        <v>4</v>
      </c>
      <c r="C445" s="90">
        <f t="shared" si="197"/>
        <v>0</v>
      </c>
      <c r="D445" s="32"/>
      <c r="E445" s="32"/>
      <c r="F445" s="60"/>
      <c r="G445" s="60"/>
      <c r="H445" s="60"/>
      <c r="I445" s="60"/>
      <c r="J445" s="34"/>
      <c r="K445" s="34"/>
      <c r="L445" s="34"/>
      <c r="M445" s="34"/>
      <c r="N445" s="34"/>
      <c r="O445" s="34"/>
      <c r="P445" s="34"/>
      <c r="Q445" s="26"/>
    </row>
    <row r="446" spans="1:17" s="4" customFormat="1" ht="78" outlineLevel="1">
      <c r="A446" s="12">
        <v>317</v>
      </c>
      <c r="B446" s="1" t="s">
        <v>109</v>
      </c>
      <c r="C446" s="90">
        <f t="shared" si="197"/>
        <v>132332.3</v>
      </c>
      <c r="D446" s="121">
        <f aca="true" t="shared" si="205" ref="D446:M446">SUM(D447:D450)</f>
        <v>10896</v>
      </c>
      <c r="E446" s="121">
        <f t="shared" si="205"/>
        <v>11496</v>
      </c>
      <c r="F446" s="140">
        <f t="shared" si="205"/>
        <v>12245</v>
      </c>
      <c r="G446" s="140">
        <f t="shared" si="205"/>
        <v>13404</v>
      </c>
      <c r="H446" s="140">
        <f t="shared" si="205"/>
        <v>13944</v>
      </c>
      <c r="I446" s="140">
        <f t="shared" si="205"/>
        <v>13853.9</v>
      </c>
      <c r="J446" s="160">
        <f t="shared" si="205"/>
        <v>13850</v>
      </c>
      <c r="K446" s="160">
        <f t="shared" si="205"/>
        <v>13724</v>
      </c>
      <c r="L446" s="160">
        <f t="shared" si="205"/>
        <v>14265.7</v>
      </c>
      <c r="M446" s="160">
        <f t="shared" si="205"/>
        <v>14653.7</v>
      </c>
      <c r="N446" s="160">
        <f>SUM(N447:N450)</f>
        <v>0</v>
      </c>
      <c r="O446" s="160">
        <f>SUM(O447:O450)</f>
        <v>0</v>
      </c>
      <c r="P446" s="160">
        <f>SUM(P447:P450)</f>
        <v>0</v>
      </c>
      <c r="Q446" s="26">
        <v>43</v>
      </c>
    </row>
    <row r="447" spans="1:17" s="4" customFormat="1" ht="15" outlineLevel="1">
      <c r="A447" s="12">
        <v>318</v>
      </c>
      <c r="B447" s="1" t="s">
        <v>3</v>
      </c>
      <c r="C447" s="90">
        <f t="shared" si="197"/>
        <v>0</v>
      </c>
      <c r="D447" s="28"/>
      <c r="E447" s="28"/>
      <c r="F447" s="59"/>
      <c r="G447" s="59">
        <v>0</v>
      </c>
      <c r="H447" s="59">
        <v>0</v>
      </c>
      <c r="I447" s="59">
        <v>0</v>
      </c>
      <c r="J447" s="33"/>
      <c r="K447" s="33"/>
      <c r="L447" s="33"/>
      <c r="M447" s="33"/>
      <c r="N447" s="33"/>
      <c r="O447" s="33"/>
      <c r="P447" s="33"/>
      <c r="Q447" s="26"/>
    </row>
    <row r="448" spans="1:17" s="4" customFormat="1" ht="15" outlineLevel="1">
      <c r="A448" s="12">
        <v>319</v>
      </c>
      <c r="B448" s="1" t="s">
        <v>1</v>
      </c>
      <c r="C448" s="90">
        <f t="shared" si="197"/>
        <v>0</v>
      </c>
      <c r="D448" s="28"/>
      <c r="E448" s="28"/>
      <c r="F448" s="59"/>
      <c r="G448" s="59">
        <v>0</v>
      </c>
      <c r="H448" s="59">
        <v>0</v>
      </c>
      <c r="I448" s="59">
        <v>0</v>
      </c>
      <c r="J448" s="33"/>
      <c r="K448" s="33"/>
      <c r="L448" s="33"/>
      <c r="M448" s="33"/>
      <c r="N448" s="33"/>
      <c r="O448" s="33"/>
      <c r="P448" s="33"/>
      <c r="Q448" s="26"/>
    </row>
    <row r="449" spans="1:17" s="4" customFormat="1" ht="15" outlineLevel="1">
      <c r="A449" s="12">
        <v>320</v>
      </c>
      <c r="B449" s="1" t="s">
        <v>2</v>
      </c>
      <c r="C449" s="90">
        <f t="shared" si="197"/>
        <v>132332.3</v>
      </c>
      <c r="D449" s="113">
        <v>10896</v>
      </c>
      <c r="E449" s="113">
        <f>10896+600</f>
        <v>11496</v>
      </c>
      <c r="F449" s="69">
        <v>12245</v>
      </c>
      <c r="G449" s="69">
        <v>13404</v>
      </c>
      <c r="H449" s="69">
        <v>13944</v>
      </c>
      <c r="I449" s="69">
        <v>13853.9</v>
      </c>
      <c r="J449" s="68">
        <v>13850</v>
      </c>
      <c r="K449" s="68">
        <v>13724</v>
      </c>
      <c r="L449" s="68">
        <v>14265.7</v>
      </c>
      <c r="M449" s="68">
        <v>14653.7</v>
      </c>
      <c r="N449" s="68"/>
      <c r="O449" s="68"/>
      <c r="P449" s="68"/>
      <c r="Q449" s="26"/>
    </row>
    <row r="450" spans="1:17" s="4" customFormat="1" ht="15" outlineLevel="1">
      <c r="A450" s="12">
        <v>321</v>
      </c>
      <c r="B450" s="1" t="s">
        <v>4</v>
      </c>
      <c r="C450" s="90">
        <f t="shared" si="197"/>
        <v>0</v>
      </c>
      <c r="D450" s="32">
        <v>0</v>
      </c>
      <c r="E450" s="32">
        <v>0</v>
      </c>
      <c r="F450" s="60">
        <v>0</v>
      </c>
      <c r="G450" s="60">
        <v>0</v>
      </c>
      <c r="H450" s="60">
        <v>0</v>
      </c>
      <c r="I450" s="60">
        <v>0</v>
      </c>
      <c r="J450" s="34"/>
      <c r="K450" s="34"/>
      <c r="L450" s="34"/>
      <c r="M450" s="34"/>
      <c r="N450" s="34"/>
      <c r="O450" s="34"/>
      <c r="P450" s="34"/>
      <c r="Q450" s="26"/>
    </row>
    <row r="451" spans="1:17" s="4" customFormat="1" ht="78" outlineLevel="1">
      <c r="A451" s="12">
        <v>322</v>
      </c>
      <c r="B451" s="1" t="s">
        <v>110</v>
      </c>
      <c r="C451" s="90">
        <f t="shared" si="197"/>
        <v>73408.40000000001</v>
      </c>
      <c r="D451" s="121">
        <f aca="true" t="shared" si="206" ref="D451:M451">SUM(D452:D455)</f>
        <v>7078</v>
      </c>
      <c r="E451" s="121">
        <f t="shared" si="206"/>
        <v>8669</v>
      </c>
      <c r="F451" s="140">
        <f t="shared" si="206"/>
        <v>9302</v>
      </c>
      <c r="G451" s="140">
        <f t="shared" si="206"/>
        <v>7319</v>
      </c>
      <c r="H451" s="140">
        <f t="shared" si="206"/>
        <v>6651.5</v>
      </c>
      <c r="I451" s="140">
        <f t="shared" si="206"/>
        <v>6749.2</v>
      </c>
      <c r="J451" s="160">
        <f t="shared" si="206"/>
        <v>7300</v>
      </c>
      <c r="K451" s="160">
        <f t="shared" si="206"/>
        <v>6780.5</v>
      </c>
      <c r="L451" s="160">
        <f t="shared" si="206"/>
        <v>6779.6</v>
      </c>
      <c r="M451" s="160">
        <f t="shared" si="206"/>
        <v>6779.6</v>
      </c>
      <c r="N451" s="160">
        <f>SUM(N452:N455)</f>
        <v>0</v>
      </c>
      <c r="O451" s="160">
        <f>SUM(O452:O455)</f>
        <v>0</v>
      </c>
      <c r="P451" s="160">
        <f>SUM(P452:P455)</f>
        <v>0</v>
      </c>
      <c r="Q451" s="26">
        <v>43</v>
      </c>
    </row>
    <row r="452" spans="1:17" s="4" customFormat="1" ht="15" outlineLevel="1">
      <c r="A452" s="12">
        <v>323</v>
      </c>
      <c r="B452" s="1" t="s">
        <v>3</v>
      </c>
      <c r="C452" s="90">
        <f t="shared" si="197"/>
        <v>0</v>
      </c>
      <c r="D452" s="28"/>
      <c r="E452" s="28"/>
      <c r="F452" s="59"/>
      <c r="G452" s="59">
        <v>0</v>
      </c>
      <c r="H452" s="59">
        <v>0</v>
      </c>
      <c r="I452" s="59">
        <v>0</v>
      </c>
      <c r="J452" s="33"/>
      <c r="K452" s="33"/>
      <c r="L452" s="33"/>
      <c r="M452" s="33"/>
      <c r="N452" s="33"/>
      <c r="O452" s="33"/>
      <c r="P452" s="33"/>
      <c r="Q452" s="26"/>
    </row>
    <row r="453" spans="1:17" s="4" customFormat="1" ht="15" outlineLevel="1">
      <c r="A453" s="12">
        <v>324</v>
      </c>
      <c r="B453" s="1" t="s">
        <v>1</v>
      </c>
      <c r="C453" s="90">
        <f t="shared" si="197"/>
        <v>73408.40000000001</v>
      </c>
      <c r="D453" s="99">
        <v>7078</v>
      </c>
      <c r="E453" s="99">
        <v>8669</v>
      </c>
      <c r="F453" s="93">
        <v>9302</v>
      </c>
      <c r="G453" s="93">
        <v>7319</v>
      </c>
      <c r="H453" s="93">
        <f>6091+340.5+220</f>
        <v>6651.5</v>
      </c>
      <c r="I453" s="93">
        <v>6749.2</v>
      </c>
      <c r="J453" s="92">
        <v>7300</v>
      </c>
      <c r="K453" s="92">
        <v>6780.5</v>
      </c>
      <c r="L453" s="92">
        <v>6779.6</v>
      </c>
      <c r="M453" s="92">
        <v>6779.6</v>
      </c>
      <c r="N453" s="92"/>
      <c r="O453" s="92"/>
      <c r="P453" s="92"/>
      <c r="Q453" s="26"/>
    </row>
    <row r="454" spans="1:17" s="4" customFormat="1" ht="15" outlineLevel="1">
      <c r="A454" s="12">
        <v>325</v>
      </c>
      <c r="B454" s="1" t="s">
        <v>2</v>
      </c>
      <c r="C454" s="90">
        <f t="shared" si="197"/>
        <v>0</v>
      </c>
      <c r="D454" s="28"/>
      <c r="E454" s="28"/>
      <c r="F454" s="59"/>
      <c r="G454" s="59">
        <v>0</v>
      </c>
      <c r="H454" s="59">
        <v>0</v>
      </c>
      <c r="I454" s="59">
        <v>0</v>
      </c>
      <c r="J454" s="33"/>
      <c r="K454" s="33"/>
      <c r="L454" s="33"/>
      <c r="M454" s="33"/>
      <c r="N454" s="33"/>
      <c r="O454" s="33"/>
      <c r="P454" s="33"/>
      <c r="Q454" s="26"/>
    </row>
    <row r="455" spans="1:17" s="4" customFormat="1" ht="15" outlineLevel="1">
      <c r="A455" s="12">
        <v>326</v>
      </c>
      <c r="B455" s="1" t="s">
        <v>4</v>
      </c>
      <c r="C455" s="90">
        <f t="shared" si="197"/>
        <v>0</v>
      </c>
      <c r="D455" s="32">
        <v>0</v>
      </c>
      <c r="E455" s="32">
        <v>0</v>
      </c>
      <c r="F455" s="60">
        <v>0</v>
      </c>
      <c r="G455" s="60">
        <v>0</v>
      </c>
      <c r="H455" s="60">
        <v>0</v>
      </c>
      <c r="I455" s="60">
        <v>0</v>
      </c>
      <c r="J455" s="34"/>
      <c r="K455" s="34"/>
      <c r="L455" s="34"/>
      <c r="M455" s="34"/>
      <c r="N455" s="34"/>
      <c r="O455" s="34"/>
      <c r="P455" s="34"/>
      <c r="Q455" s="26"/>
    </row>
    <row r="456" spans="1:17" s="4" customFormat="1" ht="78" outlineLevel="1">
      <c r="A456" s="12">
        <v>327</v>
      </c>
      <c r="B456" s="1" t="s">
        <v>111</v>
      </c>
      <c r="C456" s="90">
        <f t="shared" si="197"/>
        <v>1516.21609</v>
      </c>
      <c r="D456" s="101">
        <f aca="true" t="shared" si="207" ref="D456:M456">SUM(D457:D460)</f>
        <v>130</v>
      </c>
      <c r="E456" s="101">
        <f t="shared" si="207"/>
        <v>137</v>
      </c>
      <c r="F456" s="134">
        <f t="shared" si="207"/>
        <v>141.28</v>
      </c>
      <c r="G456" s="134">
        <f t="shared" si="207"/>
        <v>142</v>
      </c>
      <c r="H456" s="134">
        <f t="shared" si="207"/>
        <v>153.5578</v>
      </c>
      <c r="I456" s="134">
        <f t="shared" si="207"/>
        <v>152.37829</v>
      </c>
      <c r="J456" s="107">
        <f t="shared" si="207"/>
        <v>165</v>
      </c>
      <c r="K456" s="107">
        <f t="shared" si="207"/>
        <v>165</v>
      </c>
      <c r="L456" s="107">
        <f t="shared" si="207"/>
        <v>165</v>
      </c>
      <c r="M456" s="107">
        <f t="shared" si="207"/>
        <v>165</v>
      </c>
      <c r="N456" s="107">
        <f>SUM(N457:N460)</f>
        <v>0</v>
      </c>
      <c r="O456" s="107">
        <f>SUM(O457:O460)</f>
        <v>0</v>
      </c>
      <c r="P456" s="107">
        <f>SUM(P457:P460)</f>
        <v>0</v>
      </c>
      <c r="Q456" s="26">
        <v>43</v>
      </c>
    </row>
    <row r="457" spans="1:17" s="4" customFormat="1" ht="15" outlineLevel="1">
      <c r="A457" s="12">
        <v>328</v>
      </c>
      <c r="B457" s="1" t="s">
        <v>3</v>
      </c>
      <c r="C457" s="90">
        <f t="shared" si="197"/>
        <v>1516.21609</v>
      </c>
      <c r="D457" s="99">
        <v>130</v>
      </c>
      <c r="E457" s="99">
        <v>137</v>
      </c>
      <c r="F457" s="93">
        <f>138+3.28</f>
        <v>141.28</v>
      </c>
      <c r="G457" s="93">
        <v>142</v>
      </c>
      <c r="H457" s="93">
        <v>153.5578</v>
      </c>
      <c r="I457" s="93">
        <v>152.37829</v>
      </c>
      <c r="J457" s="92">
        <v>165</v>
      </c>
      <c r="K457" s="92">
        <v>165</v>
      </c>
      <c r="L457" s="92">
        <v>165</v>
      </c>
      <c r="M457" s="92">
        <v>165</v>
      </c>
      <c r="N457" s="92"/>
      <c r="O457" s="92"/>
      <c r="P457" s="92"/>
      <c r="Q457" s="26"/>
    </row>
    <row r="458" spans="1:17" s="4" customFormat="1" ht="15" outlineLevel="1">
      <c r="A458" s="12">
        <v>329</v>
      </c>
      <c r="B458" s="1" t="s">
        <v>1</v>
      </c>
      <c r="C458" s="90">
        <f t="shared" si="197"/>
        <v>0</v>
      </c>
      <c r="D458" s="28"/>
      <c r="E458" s="28"/>
      <c r="F458" s="59"/>
      <c r="G458" s="59"/>
      <c r="H458" s="59"/>
      <c r="I458" s="59"/>
      <c r="J458" s="33"/>
      <c r="K458" s="33"/>
      <c r="L458" s="33"/>
      <c r="M458" s="33"/>
      <c r="N458" s="33"/>
      <c r="O458" s="33"/>
      <c r="P458" s="33"/>
      <c r="Q458" s="26"/>
    </row>
    <row r="459" spans="1:17" s="4" customFormat="1" ht="15" outlineLevel="1">
      <c r="A459" s="12">
        <v>330</v>
      </c>
      <c r="B459" s="1" t="s">
        <v>2</v>
      </c>
      <c r="C459" s="90">
        <f t="shared" si="197"/>
        <v>0</v>
      </c>
      <c r="D459" s="28"/>
      <c r="E459" s="28"/>
      <c r="F459" s="59"/>
      <c r="G459" s="59"/>
      <c r="H459" s="59"/>
      <c r="I459" s="59"/>
      <c r="J459" s="33"/>
      <c r="K459" s="33"/>
      <c r="L459" s="33"/>
      <c r="M459" s="33"/>
      <c r="N459" s="33"/>
      <c r="O459" s="33"/>
      <c r="P459" s="33"/>
      <c r="Q459" s="26"/>
    </row>
    <row r="460" spans="1:17" s="4" customFormat="1" ht="15" outlineLevel="1">
      <c r="A460" s="12">
        <v>331</v>
      </c>
      <c r="B460" s="1" t="s">
        <v>4</v>
      </c>
      <c r="C460" s="90">
        <f t="shared" si="197"/>
        <v>0</v>
      </c>
      <c r="D460" s="32"/>
      <c r="E460" s="32"/>
      <c r="F460" s="60"/>
      <c r="G460" s="60"/>
      <c r="H460" s="60"/>
      <c r="I460" s="60"/>
      <c r="J460" s="34"/>
      <c r="K460" s="34"/>
      <c r="L460" s="34"/>
      <c r="M460" s="34"/>
      <c r="N460" s="34"/>
      <c r="O460" s="34"/>
      <c r="P460" s="34"/>
      <c r="Q460" s="26"/>
    </row>
    <row r="461" spans="1:17" s="4" customFormat="1" ht="62.25" outlineLevel="1">
      <c r="A461" s="12">
        <v>332</v>
      </c>
      <c r="B461" s="1" t="s">
        <v>112</v>
      </c>
      <c r="C461" s="90">
        <f t="shared" si="197"/>
        <v>231.90000000000003</v>
      </c>
      <c r="D461" s="43">
        <f aca="true" t="shared" si="208" ref="D461:M461">SUM(D462:D465)</f>
        <v>0</v>
      </c>
      <c r="E461" s="43">
        <f t="shared" si="208"/>
        <v>0</v>
      </c>
      <c r="F461" s="134">
        <f t="shared" si="208"/>
        <v>49.1</v>
      </c>
      <c r="G461" s="134">
        <f t="shared" si="208"/>
        <v>16.8</v>
      </c>
      <c r="H461" s="134">
        <f t="shared" si="208"/>
        <v>20.8</v>
      </c>
      <c r="I461" s="134">
        <f t="shared" si="208"/>
        <v>16.7</v>
      </c>
      <c r="J461" s="134">
        <f t="shared" si="208"/>
        <v>24.5</v>
      </c>
      <c r="K461" s="134">
        <f t="shared" si="208"/>
        <v>33.2</v>
      </c>
      <c r="L461" s="134">
        <f t="shared" si="208"/>
        <v>35</v>
      </c>
      <c r="M461" s="134">
        <f t="shared" si="208"/>
        <v>35.8</v>
      </c>
      <c r="N461" s="134">
        <f>SUM(N462:N465)</f>
        <v>0</v>
      </c>
      <c r="O461" s="134">
        <f>SUM(O462:O465)</f>
        <v>0</v>
      </c>
      <c r="P461" s="134">
        <f>SUM(P462:P465)</f>
        <v>0</v>
      </c>
      <c r="Q461" s="26"/>
    </row>
    <row r="462" spans="1:17" s="4" customFormat="1" ht="15" outlineLevel="1">
      <c r="A462" s="12">
        <v>333</v>
      </c>
      <c r="B462" s="1" t="s">
        <v>3</v>
      </c>
      <c r="C462" s="90">
        <f t="shared" si="197"/>
        <v>0</v>
      </c>
      <c r="D462" s="28"/>
      <c r="E462" s="28"/>
      <c r="F462" s="59"/>
      <c r="G462" s="59"/>
      <c r="H462" s="59"/>
      <c r="I462" s="59"/>
      <c r="J462" s="33"/>
      <c r="K462" s="33"/>
      <c r="L462" s="33"/>
      <c r="M462" s="33"/>
      <c r="N462" s="33"/>
      <c r="O462" s="33"/>
      <c r="P462" s="33"/>
      <c r="Q462" s="26"/>
    </row>
    <row r="463" spans="1:17" s="4" customFormat="1" ht="15" outlineLevel="1">
      <c r="A463" s="12">
        <v>334</v>
      </c>
      <c r="B463" s="1" t="s">
        <v>1</v>
      </c>
      <c r="C463" s="90">
        <f t="shared" si="197"/>
        <v>0</v>
      </c>
      <c r="D463" s="28"/>
      <c r="E463" s="28"/>
      <c r="F463" s="59"/>
      <c r="G463" s="59"/>
      <c r="H463" s="59"/>
      <c r="I463" s="59"/>
      <c r="J463" s="33"/>
      <c r="K463" s="33"/>
      <c r="L463" s="33"/>
      <c r="M463" s="33"/>
      <c r="N463" s="33"/>
      <c r="O463" s="33"/>
      <c r="P463" s="33"/>
      <c r="Q463" s="26"/>
    </row>
    <row r="464" spans="1:17" s="4" customFormat="1" ht="15" outlineLevel="1">
      <c r="A464" s="12">
        <v>335</v>
      </c>
      <c r="B464" s="1" t="s">
        <v>2</v>
      </c>
      <c r="C464" s="90">
        <f t="shared" si="197"/>
        <v>231.90000000000003</v>
      </c>
      <c r="D464" s="28"/>
      <c r="E464" s="28"/>
      <c r="F464" s="69">
        <v>49.1</v>
      </c>
      <c r="G464" s="69">
        <v>16.8</v>
      </c>
      <c r="H464" s="69">
        <v>20.8</v>
      </c>
      <c r="I464" s="69">
        <v>16.7</v>
      </c>
      <c r="J464" s="69">
        <v>24.5</v>
      </c>
      <c r="K464" s="69">
        <v>33.2</v>
      </c>
      <c r="L464" s="69">
        <v>35</v>
      </c>
      <c r="M464" s="69">
        <v>35.8</v>
      </c>
      <c r="N464" s="69"/>
      <c r="O464" s="69"/>
      <c r="P464" s="69"/>
      <c r="Q464" s="26"/>
    </row>
    <row r="465" spans="1:17" s="4" customFormat="1" ht="15" outlineLevel="1">
      <c r="A465" s="12">
        <v>336</v>
      </c>
      <c r="B465" s="1" t="s">
        <v>4</v>
      </c>
      <c r="C465" s="90">
        <f t="shared" si="197"/>
        <v>0</v>
      </c>
      <c r="D465" s="32"/>
      <c r="E465" s="32"/>
      <c r="F465" s="60"/>
      <c r="G465" s="60"/>
      <c r="H465" s="60"/>
      <c r="I465" s="60"/>
      <c r="J465" s="34"/>
      <c r="K465" s="34"/>
      <c r="L465" s="34"/>
      <c r="M465" s="34"/>
      <c r="N465" s="34"/>
      <c r="O465" s="34"/>
      <c r="P465" s="34"/>
      <c r="Q465" s="26"/>
    </row>
    <row r="466" spans="1:17" s="4" customFormat="1" ht="15" outlineLevel="1">
      <c r="A466" s="12">
        <v>337</v>
      </c>
      <c r="B466" s="292" t="s">
        <v>113</v>
      </c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</row>
    <row r="467" spans="1:17" s="4" customFormat="1" ht="15" outlineLevel="1">
      <c r="A467" s="12">
        <v>338</v>
      </c>
      <c r="B467" s="1" t="s">
        <v>114</v>
      </c>
      <c r="C467" s="90">
        <f t="shared" si="197"/>
        <v>51654.06</v>
      </c>
      <c r="D467" s="188">
        <f aca="true" t="shared" si="209" ref="D467:I467">SUM(D468:D471)</f>
        <v>0</v>
      </c>
      <c r="E467" s="189">
        <f t="shared" si="209"/>
        <v>51654.06</v>
      </c>
      <c r="F467" s="190">
        <f>SUM(F468:F471)</f>
        <v>0</v>
      </c>
      <c r="G467" s="190">
        <f t="shared" si="209"/>
        <v>0</v>
      </c>
      <c r="H467" s="191">
        <f t="shared" si="209"/>
        <v>0</v>
      </c>
      <c r="I467" s="191">
        <f t="shared" si="209"/>
        <v>0</v>
      </c>
      <c r="J467" s="192">
        <f aca="true" t="shared" si="210" ref="J467:P467">SUM(J468:J471)</f>
        <v>0</v>
      </c>
      <c r="K467" s="192">
        <f t="shared" si="210"/>
        <v>0</v>
      </c>
      <c r="L467" s="192">
        <f t="shared" si="210"/>
        <v>0</v>
      </c>
      <c r="M467" s="192">
        <f t="shared" si="210"/>
        <v>0</v>
      </c>
      <c r="N467" s="192">
        <f t="shared" si="210"/>
        <v>0</v>
      </c>
      <c r="O467" s="192">
        <f t="shared" si="210"/>
        <v>0</v>
      </c>
      <c r="P467" s="192">
        <f t="shared" si="210"/>
        <v>0</v>
      </c>
      <c r="Q467" s="26" t="s">
        <v>67</v>
      </c>
    </row>
    <row r="468" spans="1:17" s="4" customFormat="1" ht="15" outlineLevel="1">
      <c r="A468" s="12">
        <v>339</v>
      </c>
      <c r="B468" s="1" t="s">
        <v>3</v>
      </c>
      <c r="C468" s="90">
        <f t="shared" si="197"/>
        <v>6253.96</v>
      </c>
      <c r="D468" s="193">
        <f aca="true" t="shared" si="211" ref="D468:I471">SUM(D474)</f>
        <v>0</v>
      </c>
      <c r="E468" s="193">
        <f t="shared" si="211"/>
        <v>6253.96</v>
      </c>
      <c r="F468" s="71">
        <f t="shared" si="211"/>
        <v>0</v>
      </c>
      <c r="G468" s="71">
        <f t="shared" si="211"/>
        <v>0</v>
      </c>
      <c r="H468" s="71">
        <f t="shared" si="211"/>
        <v>0</v>
      </c>
      <c r="I468" s="71">
        <f t="shared" si="211"/>
        <v>0</v>
      </c>
      <c r="J468" s="70">
        <f aca="true" t="shared" si="212" ref="J468:K471">SUM(J474)</f>
        <v>0</v>
      </c>
      <c r="K468" s="70">
        <f t="shared" si="212"/>
        <v>0</v>
      </c>
      <c r="L468" s="70">
        <f aca="true" t="shared" si="213" ref="L468:M471">SUM(L474)</f>
        <v>0</v>
      </c>
      <c r="M468" s="70">
        <f t="shared" si="213"/>
        <v>0</v>
      </c>
      <c r="N468" s="70">
        <f aca="true" t="shared" si="214" ref="N468:P471">SUM(N474)</f>
        <v>0</v>
      </c>
      <c r="O468" s="70">
        <f t="shared" si="214"/>
        <v>0</v>
      </c>
      <c r="P468" s="70">
        <f t="shared" si="214"/>
        <v>0</v>
      </c>
      <c r="Q468" s="26" t="s">
        <v>67</v>
      </c>
    </row>
    <row r="469" spans="1:17" s="4" customFormat="1" ht="15" outlineLevel="1">
      <c r="A469" s="12">
        <v>340</v>
      </c>
      <c r="B469" s="1" t="s">
        <v>1</v>
      </c>
      <c r="C469" s="90">
        <f t="shared" si="197"/>
        <v>10404.1</v>
      </c>
      <c r="D469" s="193">
        <f t="shared" si="211"/>
        <v>0</v>
      </c>
      <c r="E469" s="193">
        <f t="shared" si="211"/>
        <v>10404.1</v>
      </c>
      <c r="F469" s="71">
        <f t="shared" si="211"/>
        <v>0</v>
      </c>
      <c r="G469" s="71">
        <f t="shared" si="211"/>
        <v>0</v>
      </c>
      <c r="H469" s="71">
        <f t="shared" si="211"/>
        <v>0</v>
      </c>
      <c r="I469" s="71">
        <f t="shared" si="211"/>
        <v>0</v>
      </c>
      <c r="J469" s="70">
        <f t="shared" si="212"/>
        <v>0</v>
      </c>
      <c r="K469" s="70">
        <f t="shared" si="212"/>
        <v>0</v>
      </c>
      <c r="L469" s="70">
        <f t="shared" si="213"/>
        <v>0</v>
      </c>
      <c r="M469" s="70">
        <f t="shared" si="213"/>
        <v>0</v>
      </c>
      <c r="N469" s="70">
        <f t="shared" si="214"/>
        <v>0</v>
      </c>
      <c r="O469" s="70">
        <f t="shared" si="214"/>
        <v>0</v>
      </c>
      <c r="P469" s="70">
        <f t="shared" si="214"/>
        <v>0</v>
      </c>
      <c r="Q469" s="26" t="s">
        <v>67</v>
      </c>
    </row>
    <row r="470" spans="1:17" s="4" customFormat="1" ht="15" outlineLevel="1">
      <c r="A470" s="12">
        <v>341</v>
      </c>
      <c r="B470" s="1" t="s">
        <v>2</v>
      </c>
      <c r="C470" s="90">
        <f t="shared" si="197"/>
        <v>34996</v>
      </c>
      <c r="D470" s="193">
        <f t="shared" si="211"/>
        <v>0</v>
      </c>
      <c r="E470" s="193">
        <f t="shared" si="211"/>
        <v>34996</v>
      </c>
      <c r="F470" s="71">
        <f t="shared" si="211"/>
        <v>0</v>
      </c>
      <c r="G470" s="71">
        <f t="shared" si="211"/>
        <v>0</v>
      </c>
      <c r="H470" s="71">
        <f t="shared" si="211"/>
        <v>0</v>
      </c>
      <c r="I470" s="71">
        <f t="shared" si="211"/>
        <v>0</v>
      </c>
      <c r="J470" s="70">
        <f t="shared" si="212"/>
        <v>0</v>
      </c>
      <c r="K470" s="70">
        <f t="shared" si="212"/>
        <v>0</v>
      </c>
      <c r="L470" s="70">
        <f t="shared" si="213"/>
        <v>0</v>
      </c>
      <c r="M470" s="70">
        <f t="shared" si="213"/>
        <v>0</v>
      </c>
      <c r="N470" s="70">
        <f t="shared" si="214"/>
        <v>0</v>
      </c>
      <c r="O470" s="70">
        <f t="shared" si="214"/>
        <v>0</v>
      </c>
      <c r="P470" s="70">
        <f t="shared" si="214"/>
        <v>0</v>
      </c>
      <c r="Q470" s="26" t="s">
        <v>67</v>
      </c>
    </row>
    <row r="471" spans="1:17" s="4" customFormat="1" ht="15" outlineLevel="1">
      <c r="A471" s="12">
        <v>342</v>
      </c>
      <c r="B471" s="29" t="s">
        <v>4</v>
      </c>
      <c r="C471" s="90">
        <f t="shared" si="197"/>
        <v>0</v>
      </c>
      <c r="D471" s="193">
        <f t="shared" si="211"/>
        <v>0</v>
      </c>
      <c r="E471" s="193">
        <f t="shared" si="211"/>
        <v>0</v>
      </c>
      <c r="F471" s="71">
        <f t="shared" si="211"/>
        <v>0</v>
      </c>
      <c r="G471" s="71">
        <f t="shared" si="211"/>
        <v>0</v>
      </c>
      <c r="H471" s="71">
        <f t="shared" si="211"/>
        <v>0</v>
      </c>
      <c r="I471" s="71">
        <f t="shared" si="211"/>
        <v>0</v>
      </c>
      <c r="J471" s="70">
        <f t="shared" si="212"/>
        <v>0</v>
      </c>
      <c r="K471" s="70">
        <f t="shared" si="212"/>
        <v>0</v>
      </c>
      <c r="L471" s="70">
        <f t="shared" si="213"/>
        <v>0</v>
      </c>
      <c r="M471" s="70">
        <f t="shared" si="213"/>
        <v>0</v>
      </c>
      <c r="N471" s="70">
        <f t="shared" si="214"/>
        <v>0</v>
      </c>
      <c r="O471" s="70">
        <f t="shared" si="214"/>
        <v>0</v>
      </c>
      <c r="P471" s="70">
        <f t="shared" si="214"/>
        <v>0</v>
      </c>
      <c r="Q471" s="30" t="s">
        <v>67</v>
      </c>
    </row>
    <row r="472" spans="1:17" s="4" customFormat="1" ht="15" outlineLevel="1">
      <c r="A472" s="12">
        <v>343</v>
      </c>
      <c r="B472" s="278" t="s">
        <v>68</v>
      </c>
      <c r="C472" s="279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279"/>
      <c r="O472" s="279"/>
      <c r="P472" s="279"/>
      <c r="Q472" s="299"/>
    </row>
    <row r="473" spans="1:17" s="4" customFormat="1" ht="30.75" outlineLevel="1">
      <c r="A473" s="12">
        <v>344</v>
      </c>
      <c r="B473" s="1" t="s">
        <v>69</v>
      </c>
      <c r="C473" s="90">
        <f t="shared" si="197"/>
        <v>51654.06</v>
      </c>
      <c r="D473" s="192">
        <f>D474+D475+D476</f>
        <v>0</v>
      </c>
      <c r="E473" s="192">
        <f>E474+E475+E476</f>
        <v>51654.06</v>
      </c>
      <c r="F473" s="76">
        <f>F474+F475+F476</f>
        <v>0</v>
      </c>
      <c r="G473" s="191">
        <v>0</v>
      </c>
      <c r="H473" s="191">
        <f aca="true" t="shared" si="215" ref="H473:M473">H474+H475+H476</f>
        <v>0</v>
      </c>
      <c r="I473" s="191">
        <f t="shared" si="215"/>
        <v>0</v>
      </c>
      <c r="J473" s="192">
        <f t="shared" si="215"/>
        <v>0</v>
      </c>
      <c r="K473" s="192">
        <f t="shared" si="215"/>
        <v>0</v>
      </c>
      <c r="L473" s="192">
        <f t="shared" si="215"/>
        <v>0</v>
      </c>
      <c r="M473" s="192">
        <f t="shared" si="215"/>
        <v>0</v>
      </c>
      <c r="N473" s="192">
        <f>N474+N475+N476</f>
        <v>0</v>
      </c>
      <c r="O473" s="192">
        <f>O474+O475+O476</f>
        <v>0</v>
      </c>
      <c r="P473" s="192">
        <f>P474+P475+P476</f>
        <v>0</v>
      </c>
      <c r="Q473" s="26" t="s">
        <v>67</v>
      </c>
    </row>
    <row r="474" spans="1:17" s="4" customFormat="1" ht="15" outlineLevel="1">
      <c r="A474" s="12">
        <v>345</v>
      </c>
      <c r="B474" s="1" t="s">
        <v>3</v>
      </c>
      <c r="C474" s="90">
        <f t="shared" si="197"/>
        <v>6253.96</v>
      </c>
      <c r="D474" s="193">
        <v>0</v>
      </c>
      <c r="E474" s="193">
        <f aca="true" t="shared" si="216" ref="E474:I477">E479+E484</f>
        <v>6253.96</v>
      </c>
      <c r="F474" s="77">
        <f t="shared" si="216"/>
        <v>0</v>
      </c>
      <c r="G474" s="71">
        <f t="shared" si="216"/>
        <v>0</v>
      </c>
      <c r="H474" s="71">
        <f t="shared" si="216"/>
        <v>0</v>
      </c>
      <c r="I474" s="71">
        <f t="shared" si="216"/>
        <v>0</v>
      </c>
      <c r="J474" s="70">
        <f aca="true" t="shared" si="217" ref="J474:K476">J479+J484</f>
        <v>0</v>
      </c>
      <c r="K474" s="70">
        <f t="shared" si="217"/>
        <v>0</v>
      </c>
      <c r="L474" s="70">
        <f aca="true" t="shared" si="218" ref="L474:M476">L479+L484</f>
        <v>0</v>
      </c>
      <c r="M474" s="70">
        <f t="shared" si="218"/>
        <v>0</v>
      </c>
      <c r="N474" s="70">
        <f aca="true" t="shared" si="219" ref="N474:P476">N479+N484</f>
        <v>0</v>
      </c>
      <c r="O474" s="70">
        <f t="shared" si="219"/>
        <v>0</v>
      </c>
      <c r="P474" s="70">
        <f t="shared" si="219"/>
        <v>0</v>
      </c>
      <c r="Q474" s="26" t="s">
        <v>67</v>
      </c>
    </row>
    <row r="475" spans="1:17" s="4" customFormat="1" ht="15" outlineLevel="1">
      <c r="A475" s="12">
        <v>346</v>
      </c>
      <c r="B475" s="1" t="s">
        <v>1</v>
      </c>
      <c r="C475" s="90">
        <f t="shared" si="197"/>
        <v>10404.1</v>
      </c>
      <c r="D475" s="193">
        <v>0</v>
      </c>
      <c r="E475" s="193">
        <f t="shared" si="216"/>
        <v>10404.1</v>
      </c>
      <c r="F475" s="77">
        <f t="shared" si="216"/>
        <v>0</v>
      </c>
      <c r="G475" s="71">
        <f>G480+G485</f>
        <v>0</v>
      </c>
      <c r="H475" s="71">
        <f t="shared" si="216"/>
        <v>0</v>
      </c>
      <c r="I475" s="71">
        <f t="shared" si="216"/>
        <v>0</v>
      </c>
      <c r="J475" s="70">
        <f t="shared" si="217"/>
        <v>0</v>
      </c>
      <c r="K475" s="70">
        <f t="shared" si="217"/>
        <v>0</v>
      </c>
      <c r="L475" s="70">
        <f t="shared" si="218"/>
        <v>0</v>
      </c>
      <c r="M475" s="70">
        <f t="shared" si="218"/>
        <v>0</v>
      </c>
      <c r="N475" s="70">
        <f t="shared" si="219"/>
        <v>0</v>
      </c>
      <c r="O475" s="70">
        <f t="shared" si="219"/>
        <v>0</v>
      </c>
      <c r="P475" s="70">
        <f t="shared" si="219"/>
        <v>0</v>
      </c>
      <c r="Q475" s="26" t="s">
        <v>67</v>
      </c>
    </row>
    <row r="476" spans="1:17" s="4" customFormat="1" ht="15" outlineLevel="1">
      <c r="A476" s="12">
        <v>347</v>
      </c>
      <c r="B476" s="1" t="s">
        <v>2</v>
      </c>
      <c r="C476" s="90">
        <f t="shared" si="197"/>
        <v>34996</v>
      </c>
      <c r="D476" s="193">
        <v>0</v>
      </c>
      <c r="E476" s="193">
        <f t="shared" si="216"/>
        <v>34996</v>
      </c>
      <c r="F476" s="77">
        <f t="shared" si="216"/>
        <v>0</v>
      </c>
      <c r="G476" s="71">
        <f>G481+G486</f>
        <v>0</v>
      </c>
      <c r="H476" s="71">
        <f t="shared" si="216"/>
        <v>0</v>
      </c>
      <c r="I476" s="71">
        <f t="shared" si="216"/>
        <v>0</v>
      </c>
      <c r="J476" s="70">
        <f t="shared" si="217"/>
        <v>0</v>
      </c>
      <c r="K476" s="70">
        <f t="shared" si="217"/>
        <v>0</v>
      </c>
      <c r="L476" s="70">
        <f t="shared" si="218"/>
        <v>0</v>
      </c>
      <c r="M476" s="70">
        <f t="shared" si="218"/>
        <v>0</v>
      </c>
      <c r="N476" s="70">
        <f t="shared" si="219"/>
        <v>0</v>
      </c>
      <c r="O476" s="70">
        <f t="shared" si="219"/>
        <v>0</v>
      </c>
      <c r="P476" s="70">
        <f t="shared" si="219"/>
        <v>0</v>
      </c>
      <c r="Q476" s="26" t="s">
        <v>67</v>
      </c>
    </row>
    <row r="477" spans="1:17" s="4" customFormat="1" ht="15" outlineLevel="1">
      <c r="A477" s="12">
        <v>348</v>
      </c>
      <c r="B477" s="1" t="s">
        <v>4</v>
      </c>
      <c r="C477" s="90">
        <f t="shared" si="197"/>
        <v>0</v>
      </c>
      <c r="D477" s="193">
        <v>0</v>
      </c>
      <c r="E477" s="193">
        <v>0</v>
      </c>
      <c r="F477" s="77">
        <f t="shared" si="216"/>
        <v>0</v>
      </c>
      <c r="G477" s="71">
        <f>G482+G487</f>
        <v>0</v>
      </c>
      <c r="H477" s="71">
        <v>0</v>
      </c>
      <c r="I477" s="71">
        <v>0</v>
      </c>
      <c r="J477" s="70">
        <v>0</v>
      </c>
      <c r="K477" s="70">
        <v>0</v>
      </c>
      <c r="L477" s="70">
        <v>0</v>
      </c>
      <c r="M477" s="70">
        <v>0</v>
      </c>
      <c r="N477" s="70">
        <v>0</v>
      </c>
      <c r="O477" s="70">
        <v>0</v>
      </c>
      <c r="P477" s="70">
        <v>0</v>
      </c>
      <c r="Q477" s="26" t="s">
        <v>67</v>
      </c>
    </row>
    <row r="478" spans="1:17" s="4" customFormat="1" ht="62.25" outlineLevel="1">
      <c r="A478" s="12">
        <v>349</v>
      </c>
      <c r="B478" s="1" t="s">
        <v>115</v>
      </c>
      <c r="C478" s="90">
        <f t="shared" si="197"/>
        <v>20291.5</v>
      </c>
      <c r="D478" s="44">
        <f aca="true" t="shared" si="220" ref="D478:K478">D479+D480+D481+D482</f>
        <v>0</v>
      </c>
      <c r="E478" s="101">
        <f t="shared" si="220"/>
        <v>20291.5</v>
      </c>
      <c r="F478" s="141">
        <f t="shared" si="220"/>
        <v>0</v>
      </c>
      <c r="G478" s="142">
        <f t="shared" si="220"/>
        <v>0</v>
      </c>
      <c r="H478" s="142">
        <f t="shared" si="220"/>
        <v>0</v>
      </c>
      <c r="I478" s="142">
        <f t="shared" si="220"/>
        <v>0</v>
      </c>
      <c r="J478" s="142">
        <f t="shared" si="220"/>
        <v>0</v>
      </c>
      <c r="K478" s="142">
        <f t="shared" si="220"/>
        <v>0</v>
      </c>
      <c r="L478" s="142"/>
      <c r="M478" s="142"/>
      <c r="N478" s="142"/>
      <c r="O478" s="142"/>
      <c r="P478" s="142"/>
      <c r="Q478" s="26"/>
    </row>
    <row r="479" spans="1:17" s="4" customFormat="1" ht="15" outlineLevel="1">
      <c r="A479" s="12">
        <v>350</v>
      </c>
      <c r="B479" s="1" t="s">
        <v>3</v>
      </c>
      <c r="C479" s="90">
        <f t="shared" si="197"/>
        <v>608.7</v>
      </c>
      <c r="D479" s="28"/>
      <c r="E479" s="99">
        <f>1300-691.3</f>
        <v>608.7</v>
      </c>
      <c r="F479" s="59"/>
      <c r="G479" s="59">
        <v>0</v>
      </c>
      <c r="H479" s="93"/>
      <c r="I479" s="93"/>
      <c r="J479" s="92"/>
      <c r="K479" s="92"/>
      <c r="L479" s="92"/>
      <c r="M479" s="92"/>
      <c r="N479" s="92"/>
      <c r="O479" s="92"/>
      <c r="P479" s="92"/>
      <c r="Q479" s="26"/>
    </row>
    <row r="480" spans="1:17" s="4" customFormat="1" ht="15" outlineLevel="1">
      <c r="A480" s="12">
        <v>351</v>
      </c>
      <c r="B480" s="1" t="s">
        <v>1</v>
      </c>
      <c r="C480" s="90">
        <f t="shared" si="197"/>
        <v>0</v>
      </c>
      <c r="D480" s="28"/>
      <c r="E480" s="28"/>
      <c r="F480" s="74"/>
      <c r="G480" s="59">
        <v>0</v>
      </c>
      <c r="H480" s="59">
        <v>0</v>
      </c>
      <c r="I480" s="59">
        <v>0</v>
      </c>
      <c r="J480" s="33"/>
      <c r="K480" s="33"/>
      <c r="L480" s="33"/>
      <c r="M480" s="33"/>
      <c r="N480" s="33"/>
      <c r="O480" s="33"/>
      <c r="P480" s="33"/>
      <c r="Q480" s="26"/>
    </row>
    <row r="481" spans="1:17" s="4" customFormat="1" ht="15" outlineLevel="1">
      <c r="A481" s="12">
        <v>352</v>
      </c>
      <c r="B481" s="1" t="s">
        <v>2</v>
      </c>
      <c r="C481" s="90">
        <f t="shared" si="197"/>
        <v>19682.8</v>
      </c>
      <c r="D481" s="32">
        <v>0</v>
      </c>
      <c r="E481" s="99">
        <v>19682.8</v>
      </c>
      <c r="F481" s="59"/>
      <c r="G481" s="59">
        <v>0</v>
      </c>
      <c r="H481" s="59">
        <v>0</v>
      </c>
      <c r="I481" s="59">
        <v>0</v>
      </c>
      <c r="J481" s="33"/>
      <c r="K481" s="33"/>
      <c r="L481" s="33"/>
      <c r="M481" s="33"/>
      <c r="N481" s="33"/>
      <c r="O481" s="33"/>
      <c r="P481" s="33"/>
      <c r="Q481" s="26"/>
    </row>
    <row r="482" spans="1:17" s="4" customFormat="1" ht="15" outlineLevel="1">
      <c r="A482" s="12">
        <v>353</v>
      </c>
      <c r="B482" s="1" t="s">
        <v>4</v>
      </c>
      <c r="C482" s="90">
        <f t="shared" si="197"/>
        <v>0</v>
      </c>
      <c r="D482" s="32">
        <v>0</v>
      </c>
      <c r="E482" s="32"/>
      <c r="F482" s="60"/>
      <c r="G482" s="60"/>
      <c r="H482" s="60"/>
      <c r="I482" s="60"/>
      <c r="J482" s="34"/>
      <c r="K482" s="34"/>
      <c r="L482" s="34"/>
      <c r="M482" s="34"/>
      <c r="N482" s="34"/>
      <c r="O482" s="34"/>
      <c r="P482" s="34"/>
      <c r="Q482" s="26"/>
    </row>
    <row r="483" spans="1:17" s="4" customFormat="1" ht="46.5" outlineLevel="1">
      <c r="A483" s="12">
        <v>354</v>
      </c>
      <c r="B483" s="1" t="s">
        <v>116</v>
      </c>
      <c r="C483" s="90">
        <f t="shared" si="197"/>
        <v>31362.56</v>
      </c>
      <c r="D483" s="44">
        <f aca="true" t="shared" si="221" ref="D483:K483">D484+D485+D486+D487</f>
        <v>0</v>
      </c>
      <c r="E483" s="101">
        <f t="shared" si="221"/>
        <v>31362.56</v>
      </c>
      <c r="F483" s="142">
        <f t="shared" si="221"/>
        <v>0</v>
      </c>
      <c r="G483" s="142">
        <f t="shared" si="221"/>
        <v>0</v>
      </c>
      <c r="H483" s="142">
        <f t="shared" si="221"/>
        <v>0</v>
      </c>
      <c r="I483" s="142">
        <f t="shared" si="221"/>
        <v>0</v>
      </c>
      <c r="J483" s="161">
        <f t="shared" si="221"/>
        <v>0</v>
      </c>
      <c r="K483" s="161">
        <f t="shared" si="221"/>
        <v>0</v>
      </c>
      <c r="L483" s="161"/>
      <c r="M483" s="161"/>
      <c r="N483" s="161"/>
      <c r="O483" s="161"/>
      <c r="P483" s="161"/>
      <c r="Q483" s="26"/>
    </row>
    <row r="484" spans="1:17" s="4" customFormat="1" ht="15" outlineLevel="1">
      <c r="A484" s="12">
        <v>355</v>
      </c>
      <c r="B484" s="1" t="s">
        <v>3</v>
      </c>
      <c r="C484" s="90">
        <f t="shared" si="197"/>
        <v>5645.26</v>
      </c>
      <c r="D484" s="28"/>
      <c r="E484" s="99">
        <v>5645.26</v>
      </c>
      <c r="F484" s="60"/>
      <c r="G484" s="59">
        <v>0</v>
      </c>
      <c r="H484" s="59">
        <v>0</v>
      </c>
      <c r="I484" s="59">
        <v>0</v>
      </c>
      <c r="J484" s="33"/>
      <c r="K484" s="33"/>
      <c r="L484" s="33"/>
      <c r="M484" s="33"/>
      <c r="N484" s="33"/>
      <c r="O484" s="33"/>
      <c r="P484" s="33"/>
      <c r="Q484" s="26"/>
    </row>
    <row r="485" spans="1:17" s="4" customFormat="1" ht="15" outlineLevel="1">
      <c r="A485" s="12">
        <v>356</v>
      </c>
      <c r="B485" s="1" t="s">
        <v>1</v>
      </c>
      <c r="C485" s="90">
        <f t="shared" si="197"/>
        <v>10404.1</v>
      </c>
      <c r="D485" s="28"/>
      <c r="E485" s="99">
        <v>10404.1</v>
      </c>
      <c r="F485" s="60">
        <v>0</v>
      </c>
      <c r="G485" s="59">
        <v>0</v>
      </c>
      <c r="H485" s="59">
        <v>0</v>
      </c>
      <c r="I485" s="59">
        <v>0</v>
      </c>
      <c r="J485" s="33"/>
      <c r="K485" s="33"/>
      <c r="L485" s="33"/>
      <c r="M485" s="33"/>
      <c r="N485" s="33"/>
      <c r="O485" s="33"/>
      <c r="P485" s="33"/>
      <c r="Q485" s="26"/>
    </row>
    <row r="486" spans="1:17" s="4" customFormat="1" ht="15" outlineLevel="1">
      <c r="A486" s="12">
        <v>357</v>
      </c>
      <c r="B486" s="1" t="s">
        <v>2</v>
      </c>
      <c r="C486" s="90">
        <f t="shared" si="197"/>
        <v>15313.2</v>
      </c>
      <c r="D486" s="28">
        <f>D487</f>
        <v>0</v>
      </c>
      <c r="E486" s="99">
        <v>15313.2</v>
      </c>
      <c r="F486" s="60"/>
      <c r="G486" s="59">
        <v>0</v>
      </c>
      <c r="H486" s="59">
        <v>0</v>
      </c>
      <c r="I486" s="59">
        <v>0</v>
      </c>
      <c r="J486" s="33"/>
      <c r="K486" s="33"/>
      <c r="L486" s="33"/>
      <c r="M486" s="33"/>
      <c r="N486" s="33"/>
      <c r="O486" s="33"/>
      <c r="P486" s="33"/>
      <c r="Q486" s="26"/>
    </row>
    <row r="487" spans="1:17" s="4" customFormat="1" ht="15" outlineLevel="1">
      <c r="A487" s="12">
        <v>358</v>
      </c>
      <c r="B487" s="1" t="s">
        <v>4</v>
      </c>
      <c r="C487" s="90">
        <f t="shared" si="197"/>
        <v>0</v>
      </c>
      <c r="D487" s="28">
        <v>0</v>
      </c>
      <c r="E487" s="28">
        <v>0</v>
      </c>
      <c r="F487" s="59">
        <v>0</v>
      </c>
      <c r="G487" s="59">
        <v>0</v>
      </c>
      <c r="H487" s="59">
        <v>0</v>
      </c>
      <c r="I487" s="59">
        <v>0</v>
      </c>
      <c r="J487" s="33"/>
      <c r="K487" s="33"/>
      <c r="L487" s="33"/>
      <c r="M487" s="33"/>
      <c r="N487" s="33"/>
      <c r="O487" s="33"/>
      <c r="P487" s="33"/>
      <c r="Q487" s="26"/>
    </row>
    <row r="488" spans="1:20" ht="15" outlineLevel="1">
      <c r="A488" s="12">
        <v>359</v>
      </c>
      <c r="B488" s="292" t="s">
        <v>117</v>
      </c>
      <c r="C488" s="292"/>
      <c r="D488" s="292"/>
      <c r="E488" s="292"/>
      <c r="F488" s="292"/>
      <c r="G488" s="292"/>
      <c r="H488" s="292"/>
      <c r="I488" s="292"/>
      <c r="J488" s="292"/>
      <c r="K488" s="292"/>
      <c r="L488" s="292"/>
      <c r="M488" s="292"/>
      <c r="N488" s="292"/>
      <c r="O488" s="292"/>
      <c r="P488" s="292"/>
      <c r="Q488" s="292"/>
      <c r="T488" s="4"/>
    </row>
    <row r="489" spans="1:17" ht="15" outlineLevel="1">
      <c r="A489" s="12">
        <v>360</v>
      </c>
      <c r="B489" s="64" t="s">
        <v>119</v>
      </c>
      <c r="C489" s="90">
        <f t="shared" si="197"/>
        <v>216433.38147</v>
      </c>
      <c r="D489" s="235">
        <f aca="true" t="shared" si="222" ref="D489:I489">SUM(D490:D493)</f>
        <v>0</v>
      </c>
      <c r="E489" s="235">
        <f t="shared" si="222"/>
        <v>0</v>
      </c>
      <c r="F489" s="80">
        <f t="shared" si="222"/>
        <v>5776</v>
      </c>
      <c r="G489" s="80">
        <f t="shared" si="222"/>
        <v>0</v>
      </c>
      <c r="H489" s="80">
        <f t="shared" si="222"/>
        <v>110399.8</v>
      </c>
      <c r="I489" s="80">
        <f t="shared" si="222"/>
        <v>99377.0147</v>
      </c>
      <c r="J489" s="80">
        <f aca="true" t="shared" si="223" ref="J489:P489">SUM(J490:J493)</f>
        <v>880.56677</v>
      </c>
      <c r="K489" s="80">
        <f t="shared" si="223"/>
        <v>0</v>
      </c>
      <c r="L489" s="80">
        <f t="shared" si="223"/>
        <v>0</v>
      </c>
      <c r="M489" s="80">
        <f t="shared" si="223"/>
        <v>0</v>
      </c>
      <c r="N489" s="80">
        <f t="shared" si="223"/>
        <v>0</v>
      </c>
      <c r="O489" s="80">
        <f t="shared" si="223"/>
        <v>0</v>
      </c>
      <c r="P489" s="80">
        <f t="shared" si="223"/>
        <v>0</v>
      </c>
      <c r="Q489" s="36" t="s">
        <v>67</v>
      </c>
    </row>
    <row r="490" spans="1:17" ht="15" outlineLevel="1">
      <c r="A490" s="12">
        <v>361</v>
      </c>
      <c r="B490" s="5" t="s">
        <v>3</v>
      </c>
      <c r="C490" s="90">
        <f t="shared" si="197"/>
        <v>13094.929269999999</v>
      </c>
      <c r="D490" s="236">
        <f aca="true" t="shared" si="224" ref="D490:H493">SUM(D496)</f>
        <v>0</v>
      </c>
      <c r="E490" s="236">
        <f t="shared" si="224"/>
        <v>0</v>
      </c>
      <c r="F490" s="234">
        <f t="shared" si="224"/>
        <v>5776</v>
      </c>
      <c r="G490" s="234">
        <f t="shared" si="224"/>
        <v>0</v>
      </c>
      <c r="H490" s="234">
        <f t="shared" si="224"/>
        <v>3357.6225</v>
      </c>
      <c r="I490" s="234">
        <f aca="true" t="shared" si="225" ref="I490:K493">SUM(I496)</f>
        <v>3080.74</v>
      </c>
      <c r="J490" s="234">
        <f t="shared" si="225"/>
        <v>880.56677</v>
      </c>
      <c r="K490" s="234">
        <f t="shared" si="225"/>
        <v>0</v>
      </c>
      <c r="L490" s="234">
        <f aca="true" t="shared" si="226" ref="L490:M493">SUM(L496)</f>
        <v>0</v>
      </c>
      <c r="M490" s="234">
        <f t="shared" si="226"/>
        <v>0</v>
      </c>
      <c r="N490" s="234">
        <f aca="true" t="shared" si="227" ref="N490:P493">SUM(N496)</f>
        <v>0</v>
      </c>
      <c r="O490" s="234">
        <f t="shared" si="227"/>
        <v>0</v>
      </c>
      <c r="P490" s="234">
        <f t="shared" si="227"/>
        <v>0</v>
      </c>
      <c r="Q490" s="36" t="s">
        <v>67</v>
      </c>
    </row>
    <row r="491" spans="1:17" ht="15" outlineLevel="1">
      <c r="A491" s="12">
        <v>362</v>
      </c>
      <c r="B491" s="5" t="s">
        <v>1</v>
      </c>
      <c r="C491" s="90">
        <f t="shared" si="197"/>
        <v>0</v>
      </c>
      <c r="D491" s="236">
        <f t="shared" si="224"/>
        <v>0</v>
      </c>
      <c r="E491" s="236">
        <f t="shared" si="224"/>
        <v>0</v>
      </c>
      <c r="F491" s="234">
        <f t="shared" si="224"/>
        <v>0</v>
      </c>
      <c r="G491" s="234">
        <f t="shared" si="224"/>
        <v>0</v>
      </c>
      <c r="H491" s="234">
        <f>SUM(H497)</f>
        <v>0</v>
      </c>
      <c r="I491" s="234">
        <f t="shared" si="225"/>
        <v>0</v>
      </c>
      <c r="J491" s="234">
        <f t="shared" si="225"/>
        <v>0</v>
      </c>
      <c r="K491" s="234">
        <f t="shared" si="225"/>
        <v>0</v>
      </c>
      <c r="L491" s="234">
        <f t="shared" si="226"/>
        <v>0</v>
      </c>
      <c r="M491" s="234">
        <f t="shared" si="226"/>
        <v>0</v>
      </c>
      <c r="N491" s="234">
        <f t="shared" si="227"/>
        <v>0</v>
      </c>
      <c r="O491" s="234">
        <f t="shared" si="227"/>
        <v>0</v>
      </c>
      <c r="P491" s="234">
        <f t="shared" si="227"/>
        <v>0</v>
      </c>
      <c r="Q491" s="36" t="s">
        <v>67</v>
      </c>
    </row>
    <row r="492" spans="1:17" ht="15" outlineLevel="1">
      <c r="A492" s="12">
        <v>363</v>
      </c>
      <c r="B492" s="5" t="s">
        <v>2</v>
      </c>
      <c r="C492" s="90">
        <f t="shared" si="197"/>
        <v>203338.4522</v>
      </c>
      <c r="D492" s="236">
        <f t="shared" si="224"/>
        <v>0</v>
      </c>
      <c r="E492" s="236">
        <f t="shared" si="224"/>
        <v>0</v>
      </c>
      <c r="F492" s="234">
        <f t="shared" si="224"/>
        <v>0</v>
      </c>
      <c r="G492" s="234">
        <f t="shared" si="224"/>
        <v>0</v>
      </c>
      <c r="H492" s="234">
        <f t="shared" si="224"/>
        <v>107042.1775</v>
      </c>
      <c r="I492" s="234">
        <f t="shared" si="225"/>
        <v>96296.2747</v>
      </c>
      <c r="J492" s="234">
        <f t="shared" si="225"/>
        <v>0</v>
      </c>
      <c r="K492" s="234">
        <f t="shared" si="225"/>
        <v>0</v>
      </c>
      <c r="L492" s="234">
        <f t="shared" si="226"/>
        <v>0</v>
      </c>
      <c r="M492" s="234">
        <f t="shared" si="226"/>
        <v>0</v>
      </c>
      <c r="N492" s="234">
        <f t="shared" si="227"/>
        <v>0</v>
      </c>
      <c r="O492" s="234">
        <f t="shared" si="227"/>
        <v>0</v>
      </c>
      <c r="P492" s="234">
        <f t="shared" si="227"/>
        <v>0</v>
      </c>
      <c r="Q492" s="36" t="s">
        <v>67</v>
      </c>
    </row>
    <row r="493" spans="1:17" ht="15" outlineLevel="1">
      <c r="A493" s="12">
        <v>364</v>
      </c>
      <c r="B493" s="37" t="s">
        <v>4</v>
      </c>
      <c r="C493" s="90">
        <f t="shared" si="197"/>
        <v>0</v>
      </c>
      <c r="D493" s="236">
        <f t="shared" si="224"/>
        <v>0</v>
      </c>
      <c r="E493" s="236">
        <f t="shared" si="224"/>
        <v>0</v>
      </c>
      <c r="F493" s="234">
        <f t="shared" si="224"/>
        <v>0</v>
      </c>
      <c r="G493" s="234">
        <f t="shared" si="224"/>
        <v>0</v>
      </c>
      <c r="H493" s="234">
        <f t="shared" si="224"/>
        <v>0</v>
      </c>
      <c r="I493" s="234">
        <f t="shared" si="225"/>
        <v>0</v>
      </c>
      <c r="J493" s="234">
        <f t="shared" si="225"/>
        <v>0</v>
      </c>
      <c r="K493" s="234">
        <f t="shared" si="225"/>
        <v>0</v>
      </c>
      <c r="L493" s="234">
        <f t="shared" si="226"/>
        <v>0</v>
      </c>
      <c r="M493" s="234">
        <f t="shared" si="226"/>
        <v>0</v>
      </c>
      <c r="N493" s="234">
        <f t="shared" si="227"/>
        <v>0</v>
      </c>
      <c r="O493" s="234">
        <f t="shared" si="227"/>
        <v>0</v>
      </c>
      <c r="P493" s="234">
        <f t="shared" si="227"/>
        <v>0</v>
      </c>
      <c r="Q493" s="38" t="s">
        <v>67</v>
      </c>
    </row>
    <row r="494" spans="1:17" ht="15" outlineLevel="1">
      <c r="A494" s="12">
        <v>365</v>
      </c>
      <c r="B494" s="300" t="s">
        <v>68</v>
      </c>
      <c r="C494" s="301"/>
      <c r="D494" s="301"/>
      <c r="E494" s="301"/>
      <c r="F494" s="301"/>
      <c r="G494" s="301"/>
      <c r="H494" s="301"/>
      <c r="I494" s="301"/>
      <c r="J494" s="301"/>
      <c r="K494" s="301"/>
      <c r="L494" s="301"/>
      <c r="M494" s="301"/>
      <c r="N494" s="301"/>
      <c r="O494" s="301"/>
      <c r="P494" s="301"/>
      <c r="Q494" s="302"/>
    </row>
    <row r="495" spans="1:17" ht="30.75" outlineLevel="1">
      <c r="A495" s="12">
        <v>366</v>
      </c>
      <c r="B495" s="47" t="s">
        <v>69</v>
      </c>
      <c r="C495" s="90">
        <f t="shared" si="197"/>
        <v>216433.38147</v>
      </c>
      <c r="D495" s="80">
        <f aca="true" t="shared" si="228" ref="D495:I495">SUM(D496:D499)</f>
        <v>0</v>
      </c>
      <c r="E495" s="80">
        <f t="shared" si="228"/>
        <v>0</v>
      </c>
      <c r="F495" s="80">
        <f t="shared" si="228"/>
        <v>5776</v>
      </c>
      <c r="G495" s="80">
        <f t="shared" si="228"/>
        <v>0</v>
      </c>
      <c r="H495" s="80">
        <f t="shared" si="228"/>
        <v>110399.8</v>
      </c>
      <c r="I495" s="80">
        <f t="shared" si="228"/>
        <v>99377.0147</v>
      </c>
      <c r="J495" s="80">
        <f aca="true" t="shared" si="229" ref="J495:P495">SUM(J496:J499)</f>
        <v>880.56677</v>
      </c>
      <c r="K495" s="80">
        <f t="shared" si="229"/>
        <v>0</v>
      </c>
      <c r="L495" s="80">
        <f t="shared" si="229"/>
        <v>0</v>
      </c>
      <c r="M495" s="80">
        <f t="shared" si="229"/>
        <v>0</v>
      </c>
      <c r="N495" s="80">
        <f t="shared" si="229"/>
        <v>0</v>
      </c>
      <c r="O495" s="80">
        <f t="shared" si="229"/>
        <v>0</v>
      </c>
      <c r="P495" s="80">
        <f t="shared" si="229"/>
        <v>0</v>
      </c>
      <c r="Q495" s="49" t="s">
        <v>67</v>
      </c>
    </row>
    <row r="496" spans="1:17" ht="15" outlineLevel="1">
      <c r="A496" s="12">
        <v>367</v>
      </c>
      <c r="B496" s="47" t="s">
        <v>3</v>
      </c>
      <c r="C496" s="90">
        <f t="shared" si="197"/>
        <v>13094.929269999999</v>
      </c>
      <c r="D496" s="234">
        <f aca="true" t="shared" si="230" ref="D496:F499">SUM(D501)</f>
        <v>0</v>
      </c>
      <c r="E496" s="234">
        <f t="shared" si="230"/>
        <v>0</v>
      </c>
      <c r="F496" s="234">
        <f t="shared" si="230"/>
        <v>5776</v>
      </c>
      <c r="G496" s="234">
        <f aca="true" t="shared" si="231" ref="G496:M496">SUM(G501,G506)</f>
        <v>0</v>
      </c>
      <c r="H496" s="234">
        <f t="shared" si="231"/>
        <v>3357.6225</v>
      </c>
      <c r="I496" s="234">
        <f t="shared" si="231"/>
        <v>3080.74</v>
      </c>
      <c r="J496" s="234">
        <f t="shared" si="231"/>
        <v>880.56677</v>
      </c>
      <c r="K496" s="234">
        <f t="shared" si="231"/>
        <v>0</v>
      </c>
      <c r="L496" s="234">
        <f t="shared" si="231"/>
        <v>0</v>
      </c>
      <c r="M496" s="234">
        <f t="shared" si="231"/>
        <v>0</v>
      </c>
      <c r="N496" s="234">
        <f aca="true" t="shared" si="232" ref="N496:P499">SUM(N501,N506)</f>
        <v>0</v>
      </c>
      <c r="O496" s="234">
        <f t="shared" si="232"/>
        <v>0</v>
      </c>
      <c r="P496" s="234">
        <f t="shared" si="232"/>
        <v>0</v>
      </c>
      <c r="Q496" s="49" t="s">
        <v>67</v>
      </c>
    </row>
    <row r="497" spans="1:17" ht="15" outlineLevel="1">
      <c r="A497" s="12">
        <v>368</v>
      </c>
      <c r="B497" s="47" t="s">
        <v>1</v>
      </c>
      <c r="C497" s="90">
        <f aca="true" t="shared" si="233" ref="C497:C560">SUM(D497:P497)</f>
        <v>0</v>
      </c>
      <c r="D497" s="234">
        <f t="shared" si="230"/>
        <v>0</v>
      </c>
      <c r="E497" s="234">
        <f t="shared" si="230"/>
        <v>0</v>
      </c>
      <c r="F497" s="234">
        <f t="shared" si="230"/>
        <v>0</v>
      </c>
      <c r="G497" s="234">
        <f>SUM(G502)</f>
        <v>0</v>
      </c>
      <c r="H497" s="234">
        <f aca="true" t="shared" si="234" ref="H497:K499">SUM(H502,H507)</f>
        <v>0</v>
      </c>
      <c r="I497" s="234">
        <f t="shared" si="234"/>
        <v>0</v>
      </c>
      <c r="J497" s="234">
        <f t="shared" si="234"/>
        <v>0</v>
      </c>
      <c r="K497" s="234">
        <f t="shared" si="234"/>
        <v>0</v>
      </c>
      <c r="L497" s="234">
        <f aca="true" t="shared" si="235" ref="L497:M499">SUM(L502,L507)</f>
        <v>0</v>
      </c>
      <c r="M497" s="234">
        <f t="shared" si="235"/>
        <v>0</v>
      </c>
      <c r="N497" s="234">
        <f t="shared" si="232"/>
        <v>0</v>
      </c>
      <c r="O497" s="234">
        <f t="shared" si="232"/>
        <v>0</v>
      </c>
      <c r="P497" s="234">
        <f t="shared" si="232"/>
        <v>0</v>
      </c>
      <c r="Q497" s="49" t="s">
        <v>67</v>
      </c>
    </row>
    <row r="498" spans="1:17" ht="15" outlineLevel="1">
      <c r="A498" s="12">
        <v>369</v>
      </c>
      <c r="B498" s="47" t="s">
        <v>2</v>
      </c>
      <c r="C498" s="90">
        <f t="shared" si="233"/>
        <v>203338.4522</v>
      </c>
      <c r="D498" s="234">
        <f t="shared" si="230"/>
        <v>0</v>
      </c>
      <c r="E498" s="234">
        <f t="shared" si="230"/>
        <v>0</v>
      </c>
      <c r="F498" s="234">
        <f t="shared" si="230"/>
        <v>0</v>
      </c>
      <c r="G498" s="234">
        <f>SUM(G503)</f>
        <v>0</v>
      </c>
      <c r="H498" s="234">
        <f t="shared" si="234"/>
        <v>107042.1775</v>
      </c>
      <c r="I498" s="234">
        <f t="shared" si="234"/>
        <v>96296.2747</v>
      </c>
      <c r="J498" s="234">
        <f t="shared" si="234"/>
        <v>0</v>
      </c>
      <c r="K498" s="234">
        <f t="shared" si="234"/>
        <v>0</v>
      </c>
      <c r="L498" s="234">
        <f t="shared" si="235"/>
        <v>0</v>
      </c>
      <c r="M498" s="234">
        <f t="shared" si="235"/>
        <v>0</v>
      </c>
      <c r="N498" s="234">
        <f t="shared" si="232"/>
        <v>0</v>
      </c>
      <c r="O498" s="234">
        <f t="shared" si="232"/>
        <v>0</v>
      </c>
      <c r="P498" s="234">
        <f t="shared" si="232"/>
        <v>0</v>
      </c>
      <c r="Q498" s="49" t="s">
        <v>67</v>
      </c>
    </row>
    <row r="499" spans="1:17" ht="15" outlineLevel="1">
      <c r="A499" s="12">
        <v>370</v>
      </c>
      <c r="B499" s="47" t="s">
        <v>4</v>
      </c>
      <c r="C499" s="90">
        <f t="shared" si="233"/>
        <v>0</v>
      </c>
      <c r="D499" s="234">
        <f t="shared" si="230"/>
        <v>0</v>
      </c>
      <c r="E499" s="234">
        <f t="shared" si="230"/>
        <v>0</v>
      </c>
      <c r="F499" s="234">
        <f t="shared" si="230"/>
        <v>0</v>
      </c>
      <c r="G499" s="234">
        <f>SUM(G504,G509)</f>
        <v>0</v>
      </c>
      <c r="H499" s="234">
        <f t="shared" si="234"/>
        <v>0</v>
      </c>
      <c r="I499" s="234">
        <f t="shared" si="234"/>
        <v>0</v>
      </c>
      <c r="J499" s="234">
        <f t="shared" si="234"/>
        <v>0</v>
      </c>
      <c r="K499" s="234">
        <f t="shared" si="234"/>
        <v>0</v>
      </c>
      <c r="L499" s="234">
        <f t="shared" si="235"/>
        <v>0</v>
      </c>
      <c r="M499" s="234">
        <f t="shared" si="235"/>
        <v>0</v>
      </c>
      <c r="N499" s="234">
        <f t="shared" si="232"/>
        <v>0</v>
      </c>
      <c r="O499" s="234">
        <f t="shared" si="232"/>
        <v>0</v>
      </c>
      <c r="P499" s="234">
        <f t="shared" si="232"/>
        <v>0</v>
      </c>
      <c r="Q499" s="49" t="s">
        <v>67</v>
      </c>
    </row>
    <row r="500" spans="1:17" ht="99.75" customHeight="1" outlineLevel="1">
      <c r="A500" s="12">
        <v>371</v>
      </c>
      <c r="B500" s="164" t="s">
        <v>221</v>
      </c>
      <c r="C500" s="90">
        <f t="shared" si="233"/>
        <v>5801</v>
      </c>
      <c r="D500" s="227">
        <f>SUM(D501:D504)</f>
        <v>0</v>
      </c>
      <c r="E500" s="227">
        <f>SUM(E501:E504)</f>
        <v>0</v>
      </c>
      <c r="F500" s="80">
        <f>SUM(F501:F504)</f>
        <v>5776</v>
      </c>
      <c r="G500" s="227">
        <v>0</v>
      </c>
      <c r="H500" s="80">
        <f>SUM(H501:H504)</f>
        <v>25</v>
      </c>
      <c r="I500" s="227">
        <f>SUM(I501:I504)</f>
        <v>0</v>
      </c>
      <c r="J500" s="227">
        <f>SUM(J501:J504)</f>
        <v>0</v>
      </c>
      <c r="K500" s="227">
        <f>SUM(K501:K504)</f>
        <v>0</v>
      </c>
      <c r="L500" s="227"/>
      <c r="M500" s="227"/>
      <c r="N500" s="227"/>
      <c r="O500" s="227"/>
      <c r="P500" s="227"/>
      <c r="Q500" s="49">
        <v>56</v>
      </c>
    </row>
    <row r="501" spans="1:17" ht="15" outlineLevel="1">
      <c r="A501" s="12">
        <v>372</v>
      </c>
      <c r="B501" s="47" t="s">
        <v>3</v>
      </c>
      <c r="C501" s="90">
        <f t="shared" si="233"/>
        <v>5801</v>
      </c>
      <c r="D501" s="228">
        <v>0</v>
      </c>
      <c r="E501" s="228"/>
      <c r="F501" s="234">
        <f>7700-1924</f>
        <v>5776</v>
      </c>
      <c r="G501" s="228">
        <v>0</v>
      </c>
      <c r="H501" s="234">
        <v>25</v>
      </c>
      <c r="I501" s="228"/>
      <c r="J501" s="228"/>
      <c r="K501" s="228"/>
      <c r="L501" s="228"/>
      <c r="M501" s="228"/>
      <c r="N501" s="228"/>
      <c r="O501" s="228"/>
      <c r="P501" s="228"/>
      <c r="Q501" s="49"/>
    </row>
    <row r="502" spans="1:17" ht="15" outlineLevel="1">
      <c r="A502" s="12">
        <v>373</v>
      </c>
      <c r="B502" s="47" t="s">
        <v>1</v>
      </c>
      <c r="C502" s="90">
        <f t="shared" si="233"/>
        <v>0</v>
      </c>
      <c r="D502" s="228">
        <v>0</v>
      </c>
      <c r="E502" s="228"/>
      <c r="F502" s="228"/>
      <c r="G502" s="228"/>
      <c r="H502" s="228"/>
      <c r="I502" s="228"/>
      <c r="J502" s="228"/>
      <c r="K502" s="228"/>
      <c r="L502" s="228"/>
      <c r="M502" s="228"/>
      <c r="N502" s="228"/>
      <c r="O502" s="228"/>
      <c r="P502" s="228"/>
      <c r="Q502" s="49"/>
    </row>
    <row r="503" spans="1:17" ht="15" outlineLevel="1">
      <c r="A503" s="12">
        <v>374</v>
      </c>
      <c r="B503" s="47" t="s">
        <v>2</v>
      </c>
      <c r="C503" s="90">
        <f t="shared" si="233"/>
        <v>0</v>
      </c>
      <c r="D503" s="228">
        <v>0</v>
      </c>
      <c r="E503" s="228"/>
      <c r="F503" s="228"/>
      <c r="G503" s="228"/>
      <c r="H503" s="228"/>
      <c r="I503" s="228"/>
      <c r="J503" s="228"/>
      <c r="K503" s="228"/>
      <c r="L503" s="228"/>
      <c r="M503" s="228"/>
      <c r="N503" s="228"/>
      <c r="O503" s="228"/>
      <c r="P503" s="228"/>
      <c r="Q503" s="49"/>
    </row>
    <row r="504" spans="1:17" ht="15" outlineLevel="1">
      <c r="A504" s="12">
        <v>375</v>
      </c>
      <c r="B504" s="47" t="s">
        <v>4</v>
      </c>
      <c r="C504" s="90">
        <f t="shared" si="233"/>
        <v>0</v>
      </c>
      <c r="D504" s="228"/>
      <c r="E504" s="228"/>
      <c r="F504" s="228"/>
      <c r="G504" s="228"/>
      <c r="H504" s="228"/>
      <c r="I504" s="228"/>
      <c r="J504" s="228"/>
      <c r="K504" s="228"/>
      <c r="L504" s="228"/>
      <c r="M504" s="228"/>
      <c r="N504" s="228"/>
      <c r="O504" s="228"/>
      <c r="P504" s="228"/>
      <c r="Q504" s="49"/>
    </row>
    <row r="505" spans="1:17" ht="81" customHeight="1" outlineLevel="1">
      <c r="A505" s="12">
        <v>376</v>
      </c>
      <c r="B505" s="164" t="s">
        <v>222</v>
      </c>
      <c r="C505" s="90">
        <f t="shared" si="233"/>
        <v>210632.38147</v>
      </c>
      <c r="D505" s="229">
        <f aca="true" t="shared" si="236" ref="D505:K505">SUM(D506:D509)</f>
        <v>0</v>
      </c>
      <c r="E505" s="229">
        <f t="shared" si="236"/>
        <v>0</v>
      </c>
      <c r="F505" s="227">
        <f t="shared" si="236"/>
        <v>0</v>
      </c>
      <c r="G505" s="227">
        <f t="shared" si="236"/>
        <v>0</v>
      </c>
      <c r="H505" s="80">
        <f t="shared" si="236"/>
        <v>110374.8</v>
      </c>
      <c r="I505" s="80">
        <f t="shared" si="236"/>
        <v>99377.0147</v>
      </c>
      <c r="J505" s="80">
        <f t="shared" si="236"/>
        <v>880.56677</v>
      </c>
      <c r="K505" s="227">
        <f t="shared" si="236"/>
        <v>0</v>
      </c>
      <c r="L505" s="230"/>
      <c r="M505" s="230"/>
      <c r="N505" s="230"/>
      <c r="O505" s="230"/>
      <c r="P505" s="230"/>
      <c r="Q505" s="63">
        <v>57</v>
      </c>
    </row>
    <row r="506" spans="1:17" ht="15" outlineLevel="1">
      <c r="A506" s="12">
        <v>377</v>
      </c>
      <c r="B506" s="47" t="s">
        <v>3</v>
      </c>
      <c r="C506" s="90">
        <f t="shared" si="233"/>
        <v>7293.92927</v>
      </c>
      <c r="D506" s="231">
        <v>0</v>
      </c>
      <c r="E506" s="231"/>
      <c r="F506" s="228"/>
      <c r="G506" s="228"/>
      <c r="H506" s="234">
        <v>3332.6225</v>
      </c>
      <c r="I506" s="234">
        <f>2978.24+42.5+60</f>
        <v>3080.74</v>
      </c>
      <c r="J506" s="234">
        <v>880.56677</v>
      </c>
      <c r="K506" s="232"/>
      <c r="L506" s="232"/>
      <c r="M506" s="232"/>
      <c r="N506" s="232"/>
      <c r="O506" s="232"/>
      <c r="P506" s="232"/>
      <c r="Q506" s="63"/>
    </row>
    <row r="507" spans="1:17" ht="15" outlineLevel="1">
      <c r="A507" s="12">
        <v>378</v>
      </c>
      <c r="B507" s="47" t="s">
        <v>1</v>
      </c>
      <c r="C507" s="90">
        <f t="shared" si="233"/>
        <v>0</v>
      </c>
      <c r="D507" s="231">
        <v>0</v>
      </c>
      <c r="E507" s="231"/>
      <c r="F507" s="228"/>
      <c r="G507" s="228"/>
      <c r="H507" s="228"/>
      <c r="I507" s="228"/>
      <c r="J507" s="232"/>
      <c r="K507" s="232"/>
      <c r="L507" s="232"/>
      <c r="M507" s="232"/>
      <c r="N507" s="232"/>
      <c r="O507" s="232"/>
      <c r="P507" s="232"/>
      <c r="Q507" s="63"/>
    </row>
    <row r="508" spans="1:17" ht="15" outlineLevel="1">
      <c r="A508" s="12">
        <v>379</v>
      </c>
      <c r="B508" s="47" t="s">
        <v>2</v>
      </c>
      <c r="C508" s="90">
        <f t="shared" si="233"/>
        <v>203338.4522</v>
      </c>
      <c r="D508" s="231">
        <v>0</v>
      </c>
      <c r="E508" s="231"/>
      <c r="F508" s="228"/>
      <c r="G508" s="228"/>
      <c r="H508" s="234">
        <v>107042.1775</v>
      </c>
      <c r="I508" s="234">
        <v>96296.2747</v>
      </c>
      <c r="J508" s="232"/>
      <c r="K508" s="232"/>
      <c r="L508" s="232"/>
      <c r="M508" s="232"/>
      <c r="N508" s="232"/>
      <c r="O508" s="232"/>
      <c r="P508" s="232"/>
      <c r="Q508" s="63"/>
    </row>
    <row r="509" spans="1:17" ht="15" outlineLevel="1">
      <c r="A509" s="12">
        <v>380</v>
      </c>
      <c r="B509" s="47" t="s">
        <v>4</v>
      </c>
      <c r="C509" s="90">
        <f t="shared" si="233"/>
        <v>0</v>
      </c>
      <c r="D509" s="231"/>
      <c r="E509" s="231"/>
      <c r="F509" s="228"/>
      <c r="G509" s="228"/>
      <c r="H509" s="228"/>
      <c r="I509" s="228"/>
      <c r="J509" s="232"/>
      <c r="K509" s="232"/>
      <c r="L509" s="232"/>
      <c r="M509" s="232"/>
      <c r="N509" s="232"/>
      <c r="O509" s="232"/>
      <c r="P509" s="232"/>
      <c r="Q509" s="63"/>
    </row>
    <row r="510" spans="1:17" ht="15" outlineLevel="1">
      <c r="A510" s="12">
        <v>381</v>
      </c>
      <c r="B510" s="309" t="s">
        <v>121</v>
      </c>
      <c r="C510" s="309"/>
      <c r="D510" s="309"/>
      <c r="E510" s="309"/>
      <c r="F510" s="309"/>
      <c r="G510" s="309"/>
      <c r="H510" s="309"/>
      <c r="I510" s="309"/>
      <c r="J510" s="309"/>
      <c r="K510" s="309"/>
      <c r="L510" s="309"/>
      <c r="M510" s="309"/>
      <c r="N510" s="309"/>
      <c r="O510" s="309"/>
      <c r="P510" s="309"/>
      <c r="Q510" s="309"/>
    </row>
    <row r="511" spans="1:17" ht="15" outlineLevel="1">
      <c r="A511" s="12">
        <v>382</v>
      </c>
      <c r="B511" s="1" t="s">
        <v>120</v>
      </c>
      <c r="C511" s="90">
        <f t="shared" si="233"/>
        <v>14857.255999999998</v>
      </c>
      <c r="D511" s="194">
        <f aca="true" t="shared" si="237" ref="D511:I511">SUM(D512:D515)</f>
        <v>0</v>
      </c>
      <c r="E511" s="194">
        <f t="shared" si="237"/>
        <v>0</v>
      </c>
      <c r="F511" s="191">
        <f>SUM(F512:F516)</f>
        <v>14857.255999999998</v>
      </c>
      <c r="G511" s="191">
        <f>SUM(G512:G516)</f>
        <v>0</v>
      </c>
      <c r="H511" s="191">
        <f t="shared" si="237"/>
        <v>0</v>
      </c>
      <c r="I511" s="191">
        <f t="shared" si="237"/>
        <v>0</v>
      </c>
      <c r="J511" s="192">
        <f aca="true" t="shared" si="238" ref="J511:P511">SUM(J512:J515)</f>
        <v>0</v>
      </c>
      <c r="K511" s="192">
        <f t="shared" si="238"/>
        <v>0</v>
      </c>
      <c r="L511" s="192">
        <f t="shared" si="238"/>
        <v>0</v>
      </c>
      <c r="M511" s="192">
        <f t="shared" si="238"/>
        <v>0</v>
      </c>
      <c r="N511" s="192">
        <f t="shared" si="238"/>
        <v>0</v>
      </c>
      <c r="O511" s="192">
        <f t="shared" si="238"/>
        <v>0</v>
      </c>
      <c r="P511" s="192">
        <f t="shared" si="238"/>
        <v>0</v>
      </c>
      <c r="Q511" s="26"/>
    </row>
    <row r="512" spans="1:17" ht="15" outlineLevel="1">
      <c r="A512" s="12">
        <v>383</v>
      </c>
      <c r="B512" s="1" t="s">
        <v>3</v>
      </c>
      <c r="C512" s="90">
        <f t="shared" si="233"/>
        <v>1367.1272</v>
      </c>
      <c r="D512" s="188">
        <f aca="true" t="shared" si="239" ref="D512:I516">SUM(D519)</f>
        <v>0</v>
      </c>
      <c r="E512" s="188">
        <f t="shared" si="239"/>
        <v>0</v>
      </c>
      <c r="F512" s="190">
        <f>SUM(F519)</f>
        <v>1367.1272</v>
      </c>
      <c r="G512" s="190">
        <f t="shared" si="239"/>
        <v>0</v>
      </c>
      <c r="H512" s="190">
        <f t="shared" si="239"/>
        <v>0</v>
      </c>
      <c r="I512" s="190">
        <f t="shared" si="239"/>
        <v>0</v>
      </c>
      <c r="J512" s="196">
        <f aca="true" t="shared" si="240" ref="J512:K516">SUM(J519)</f>
        <v>0</v>
      </c>
      <c r="K512" s="196">
        <f t="shared" si="240"/>
        <v>0</v>
      </c>
      <c r="L512" s="196">
        <f aca="true" t="shared" si="241" ref="L512:M516">SUM(L519)</f>
        <v>0</v>
      </c>
      <c r="M512" s="196">
        <f t="shared" si="241"/>
        <v>0</v>
      </c>
      <c r="N512" s="196">
        <f aca="true" t="shared" si="242" ref="N512:P516">SUM(N519)</f>
        <v>0</v>
      </c>
      <c r="O512" s="196">
        <f t="shared" si="242"/>
        <v>0</v>
      </c>
      <c r="P512" s="196">
        <f t="shared" si="242"/>
        <v>0</v>
      </c>
      <c r="Q512" s="26"/>
    </row>
    <row r="513" spans="1:17" ht="15" outlineLevel="1">
      <c r="A513" s="12">
        <v>384</v>
      </c>
      <c r="B513" s="1" t="s">
        <v>1</v>
      </c>
      <c r="C513" s="90">
        <f t="shared" si="233"/>
        <v>0</v>
      </c>
      <c r="D513" s="188">
        <f t="shared" si="239"/>
        <v>0</v>
      </c>
      <c r="E513" s="188">
        <f t="shared" si="239"/>
        <v>0</v>
      </c>
      <c r="F513" s="190">
        <f t="shared" si="239"/>
        <v>0</v>
      </c>
      <c r="G513" s="190">
        <f t="shared" si="239"/>
        <v>0</v>
      </c>
      <c r="H513" s="190">
        <f t="shared" si="239"/>
        <v>0</v>
      </c>
      <c r="I513" s="190">
        <f t="shared" si="239"/>
        <v>0</v>
      </c>
      <c r="J513" s="196">
        <f t="shared" si="240"/>
        <v>0</v>
      </c>
      <c r="K513" s="196">
        <f t="shared" si="240"/>
        <v>0</v>
      </c>
      <c r="L513" s="196">
        <f t="shared" si="241"/>
        <v>0</v>
      </c>
      <c r="M513" s="196">
        <f t="shared" si="241"/>
        <v>0</v>
      </c>
      <c r="N513" s="196">
        <f t="shared" si="242"/>
        <v>0</v>
      </c>
      <c r="O513" s="196">
        <f t="shared" si="242"/>
        <v>0</v>
      </c>
      <c r="P513" s="196">
        <f t="shared" si="242"/>
        <v>0</v>
      </c>
      <c r="Q513" s="26"/>
    </row>
    <row r="514" spans="1:17" ht="15" outlineLevel="1">
      <c r="A514" s="12">
        <v>385</v>
      </c>
      <c r="B514" s="1" t="s">
        <v>2</v>
      </c>
      <c r="C514" s="90">
        <f t="shared" si="233"/>
        <v>13395.41376</v>
      </c>
      <c r="D514" s="188">
        <f t="shared" si="239"/>
        <v>0</v>
      </c>
      <c r="E514" s="188">
        <f t="shared" si="239"/>
        <v>0</v>
      </c>
      <c r="F514" s="190">
        <f t="shared" si="239"/>
        <v>13395.41376</v>
      </c>
      <c r="G514" s="190">
        <f t="shared" si="239"/>
        <v>0</v>
      </c>
      <c r="H514" s="190">
        <f t="shared" si="239"/>
        <v>0</v>
      </c>
      <c r="I514" s="190">
        <f t="shared" si="239"/>
        <v>0</v>
      </c>
      <c r="J514" s="196">
        <f t="shared" si="240"/>
        <v>0</v>
      </c>
      <c r="K514" s="196">
        <f t="shared" si="240"/>
        <v>0</v>
      </c>
      <c r="L514" s="196">
        <f t="shared" si="241"/>
        <v>0</v>
      </c>
      <c r="M514" s="196">
        <f t="shared" si="241"/>
        <v>0</v>
      </c>
      <c r="N514" s="196">
        <f t="shared" si="242"/>
        <v>0</v>
      </c>
      <c r="O514" s="196">
        <f t="shared" si="242"/>
        <v>0</v>
      </c>
      <c r="P514" s="196">
        <f t="shared" si="242"/>
        <v>0</v>
      </c>
      <c r="Q514" s="26"/>
    </row>
    <row r="515" spans="1:17" ht="15" outlineLevel="1">
      <c r="A515" s="12">
        <v>386</v>
      </c>
      <c r="B515" s="29" t="s">
        <v>4</v>
      </c>
      <c r="C515" s="90">
        <f t="shared" si="233"/>
        <v>0</v>
      </c>
      <c r="D515" s="188">
        <f t="shared" si="239"/>
        <v>0</v>
      </c>
      <c r="E515" s="188">
        <f t="shared" si="239"/>
        <v>0</v>
      </c>
      <c r="F515" s="190">
        <f t="shared" si="239"/>
        <v>0</v>
      </c>
      <c r="G515" s="190">
        <f t="shared" si="239"/>
        <v>0</v>
      </c>
      <c r="H515" s="190">
        <f t="shared" si="239"/>
        <v>0</v>
      </c>
      <c r="I515" s="190">
        <f t="shared" si="239"/>
        <v>0</v>
      </c>
      <c r="J515" s="196">
        <f t="shared" si="240"/>
        <v>0</v>
      </c>
      <c r="K515" s="196">
        <f t="shared" si="240"/>
        <v>0</v>
      </c>
      <c r="L515" s="196">
        <f t="shared" si="241"/>
        <v>0</v>
      </c>
      <c r="M515" s="196">
        <f t="shared" si="241"/>
        <v>0</v>
      </c>
      <c r="N515" s="196">
        <f t="shared" si="242"/>
        <v>0</v>
      </c>
      <c r="O515" s="196">
        <f t="shared" si="242"/>
        <v>0</v>
      </c>
      <c r="P515" s="196">
        <f t="shared" si="242"/>
        <v>0</v>
      </c>
      <c r="Q515" s="30"/>
    </row>
    <row r="516" spans="1:17" ht="15" outlineLevel="1">
      <c r="A516" s="12">
        <v>387</v>
      </c>
      <c r="B516" s="29" t="s">
        <v>123</v>
      </c>
      <c r="C516" s="90">
        <f t="shared" si="233"/>
        <v>94.71504</v>
      </c>
      <c r="D516" s="188">
        <f t="shared" si="239"/>
        <v>0</v>
      </c>
      <c r="E516" s="188">
        <f t="shared" si="239"/>
        <v>0</v>
      </c>
      <c r="F516" s="190">
        <f>F523</f>
        <v>94.71504</v>
      </c>
      <c r="G516" s="190">
        <f>G523</f>
        <v>0</v>
      </c>
      <c r="H516" s="190">
        <f t="shared" si="239"/>
        <v>0</v>
      </c>
      <c r="I516" s="190">
        <f t="shared" si="239"/>
        <v>0</v>
      </c>
      <c r="J516" s="196">
        <f t="shared" si="240"/>
        <v>0</v>
      </c>
      <c r="K516" s="196">
        <f t="shared" si="240"/>
        <v>0</v>
      </c>
      <c r="L516" s="196">
        <f t="shared" si="241"/>
        <v>0</v>
      </c>
      <c r="M516" s="196">
        <f t="shared" si="241"/>
        <v>0</v>
      </c>
      <c r="N516" s="196">
        <f t="shared" si="242"/>
        <v>0</v>
      </c>
      <c r="O516" s="196">
        <f t="shared" si="242"/>
        <v>0</v>
      </c>
      <c r="P516" s="196">
        <f t="shared" si="242"/>
        <v>0</v>
      </c>
      <c r="Q516" s="30"/>
    </row>
    <row r="517" spans="1:17" ht="15" outlineLevel="1">
      <c r="A517" s="12">
        <v>388</v>
      </c>
      <c r="B517" s="257" t="s">
        <v>96</v>
      </c>
      <c r="C517" s="257"/>
      <c r="D517" s="257"/>
      <c r="E517" s="257"/>
      <c r="F517" s="257"/>
      <c r="G517" s="257"/>
      <c r="H517" s="257"/>
      <c r="I517" s="257"/>
      <c r="J517" s="257"/>
      <c r="K517" s="257"/>
      <c r="L517" s="257"/>
      <c r="M517" s="257"/>
      <c r="N517" s="257"/>
      <c r="O517" s="257"/>
      <c r="P517" s="257"/>
      <c r="Q517" s="257"/>
    </row>
    <row r="518" spans="1:17" ht="30.75" outlineLevel="1">
      <c r="A518" s="12">
        <v>389</v>
      </c>
      <c r="B518" s="1" t="s">
        <v>71</v>
      </c>
      <c r="C518" s="90">
        <f t="shared" si="233"/>
        <v>14857.255999999998</v>
      </c>
      <c r="D518" s="197">
        <f aca="true" t="shared" si="243" ref="D518:I518">SUM(D519:D522)</f>
        <v>0</v>
      </c>
      <c r="E518" s="197">
        <f t="shared" si="243"/>
        <v>0</v>
      </c>
      <c r="F518" s="118">
        <f>SUM(F519:F523)</f>
        <v>14857.255999999998</v>
      </c>
      <c r="G518" s="118">
        <f>SUM(G519:G523)</f>
        <v>0</v>
      </c>
      <c r="H518" s="118">
        <f t="shared" si="243"/>
        <v>0</v>
      </c>
      <c r="I518" s="118">
        <f t="shared" si="243"/>
        <v>0</v>
      </c>
      <c r="J518" s="117">
        <f aca="true" t="shared" si="244" ref="J518:P518">SUM(J519:J522)</f>
        <v>0</v>
      </c>
      <c r="K518" s="117">
        <f t="shared" si="244"/>
        <v>0</v>
      </c>
      <c r="L518" s="117">
        <f t="shared" si="244"/>
        <v>0</v>
      </c>
      <c r="M518" s="117">
        <f t="shared" si="244"/>
        <v>0</v>
      </c>
      <c r="N518" s="117">
        <f t="shared" si="244"/>
        <v>0</v>
      </c>
      <c r="O518" s="117">
        <f t="shared" si="244"/>
        <v>0</v>
      </c>
      <c r="P518" s="117">
        <f t="shared" si="244"/>
        <v>0</v>
      </c>
      <c r="Q518" s="1"/>
    </row>
    <row r="519" spans="1:17" ht="15" outlineLevel="1">
      <c r="A519" s="12">
        <v>390</v>
      </c>
      <c r="B519" s="1" t="s">
        <v>3</v>
      </c>
      <c r="C519" s="90">
        <f t="shared" si="233"/>
        <v>1367.1272</v>
      </c>
      <c r="D519" s="198">
        <f aca="true" t="shared" si="245" ref="D519:I520">SUM(D525,D536,D541,D531)</f>
        <v>0</v>
      </c>
      <c r="E519" s="198">
        <f t="shared" si="245"/>
        <v>0</v>
      </c>
      <c r="F519" s="199">
        <f t="shared" si="245"/>
        <v>1367.1272</v>
      </c>
      <c r="G519" s="199">
        <f t="shared" si="245"/>
        <v>0</v>
      </c>
      <c r="H519" s="199">
        <f t="shared" si="245"/>
        <v>0</v>
      </c>
      <c r="I519" s="199">
        <f t="shared" si="245"/>
        <v>0</v>
      </c>
      <c r="J519" s="200">
        <f aca="true" t="shared" si="246" ref="J519:K521">SUM(J525,J536,J541,J531)</f>
        <v>0</v>
      </c>
      <c r="K519" s="200">
        <f t="shared" si="246"/>
        <v>0</v>
      </c>
      <c r="L519" s="200">
        <f aca="true" t="shared" si="247" ref="L519:M521">SUM(L525,L536,L541,L531)</f>
        <v>0</v>
      </c>
      <c r="M519" s="200">
        <f t="shared" si="247"/>
        <v>0</v>
      </c>
      <c r="N519" s="200">
        <f aca="true" t="shared" si="248" ref="N519:P521">SUM(N525,N536,N541,N531)</f>
        <v>0</v>
      </c>
      <c r="O519" s="200">
        <f t="shared" si="248"/>
        <v>0</v>
      </c>
      <c r="P519" s="200">
        <f t="shared" si="248"/>
        <v>0</v>
      </c>
      <c r="Q519" s="26" t="s">
        <v>67</v>
      </c>
    </row>
    <row r="520" spans="1:17" ht="15" outlineLevel="1">
      <c r="A520" s="12">
        <v>391</v>
      </c>
      <c r="B520" s="1" t="s">
        <v>1</v>
      </c>
      <c r="C520" s="90">
        <f t="shared" si="233"/>
        <v>0</v>
      </c>
      <c r="D520" s="198">
        <f t="shared" si="245"/>
        <v>0</v>
      </c>
      <c r="E520" s="198">
        <f t="shared" si="245"/>
        <v>0</v>
      </c>
      <c r="F520" s="199">
        <f t="shared" si="245"/>
        <v>0</v>
      </c>
      <c r="G520" s="199">
        <f t="shared" si="245"/>
        <v>0</v>
      </c>
      <c r="H520" s="199">
        <f t="shared" si="245"/>
        <v>0</v>
      </c>
      <c r="I520" s="199">
        <f t="shared" si="245"/>
        <v>0</v>
      </c>
      <c r="J520" s="200">
        <f t="shared" si="246"/>
        <v>0</v>
      </c>
      <c r="K520" s="200">
        <f t="shared" si="246"/>
        <v>0</v>
      </c>
      <c r="L520" s="200">
        <f t="shared" si="247"/>
        <v>0</v>
      </c>
      <c r="M520" s="200">
        <f t="shared" si="247"/>
        <v>0</v>
      </c>
      <c r="N520" s="200">
        <f t="shared" si="248"/>
        <v>0</v>
      </c>
      <c r="O520" s="200">
        <f t="shared" si="248"/>
        <v>0</v>
      </c>
      <c r="P520" s="200">
        <f t="shared" si="248"/>
        <v>0</v>
      </c>
      <c r="Q520" s="26"/>
    </row>
    <row r="521" spans="1:17" ht="15" outlineLevel="1">
      <c r="A521" s="12">
        <v>392</v>
      </c>
      <c r="B521" s="1" t="s">
        <v>2</v>
      </c>
      <c r="C521" s="90">
        <f t="shared" si="233"/>
        <v>13395.41376</v>
      </c>
      <c r="D521" s="198">
        <f aca="true" t="shared" si="249" ref="D521:I521">SUM(D527,D538,D543,D533)</f>
        <v>0</v>
      </c>
      <c r="E521" s="198">
        <f t="shared" si="249"/>
        <v>0</v>
      </c>
      <c r="F521" s="199">
        <f t="shared" si="249"/>
        <v>13395.41376</v>
      </c>
      <c r="G521" s="199">
        <f t="shared" si="249"/>
        <v>0</v>
      </c>
      <c r="H521" s="199">
        <f t="shared" si="249"/>
        <v>0</v>
      </c>
      <c r="I521" s="199">
        <f t="shared" si="249"/>
        <v>0</v>
      </c>
      <c r="J521" s="200">
        <f t="shared" si="246"/>
        <v>0</v>
      </c>
      <c r="K521" s="200">
        <f t="shared" si="246"/>
        <v>0</v>
      </c>
      <c r="L521" s="200">
        <f t="shared" si="247"/>
        <v>0</v>
      </c>
      <c r="M521" s="200">
        <f t="shared" si="247"/>
        <v>0</v>
      </c>
      <c r="N521" s="200">
        <f t="shared" si="248"/>
        <v>0</v>
      </c>
      <c r="O521" s="200">
        <f t="shared" si="248"/>
        <v>0</v>
      </c>
      <c r="P521" s="200">
        <f t="shared" si="248"/>
        <v>0</v>
      </c>
      <c r="Q521" s="26"/>
    </row>
    <row r="522" spans="1:17" ht="15" outlineLevel="1">
      <c r="A522" s="12">
        <v>393</v>
      </c>
      <c r="B522" s="29" t="s">
        <v>4</v>
      </c>
      <c r="C522" s="90">
        <f t="shared" si="233"/>
        <v>0</v>
      </c>
      <c r="D522" s="198">
        <f aca="true" t="shared" si="250" ref="D522:I523">SUM(D528,D539,D534)</f>
        <v>0</v>
      </c>
      <c r="E522" s="198">
        <f t="shared" si="250"/>
        <v>0</v>
      </c>
      <c r="F522" s="200">
        <f t="shared" si="250"/>
        <v>0</v>
      </c>
      <c r="G522" s="199">
        <f t="shared" si="250"/>
        <v>0</v>
      </c>
      <c r="H522" s="199">
        <f t="shared" si="250"/>
        <v>0</v>
      </c>
      <c r="I522" s="199">
        <f t="shared" si="250"/>
        <v>0</v>
      </c>
      <c r="J522" s="200">
        <f aca="true" t="shared" si="251" ref="J522:M523">SUM(J528,J539,J534)</f>
        <v>0</v>
      </c>
      <c r="K522" s="200">
        <f t="shared" si="251"/>
        <v>0</v>
      </c>
      <c r="L522" s="200">
        <f t="shared" si="251"/>
        <v>0</v>
      </c>
      <c r="M522" s="200">
        <f t="shared" si="251"/>
        <v>0</v>
      </c>
      <c r="N522" s="200">
        <f aca="true" t="shared" si="252" ref="N522:P523">SUM(N528,N539,N534)</f>
        <v>0</v>
      </c>
      <c r="O522" s="200">
        <f t="shared" si="252"/>
        <v>0</v>
      </c>
      <c r="P522" s="200">
        <f t="shared" si="252"/>
        <v>0</v>
      </c>
      <c r="Q522" s="30"/>
    </row>
    <row r="523" spans="1:17" ht="15" outlineLevel="1">
      <c r="A523" s="12">
        <v>394</v>
      </c>
      <c r="B523" s="29" t="s">
        <v>123</v>
      </c>
      <c r="C523" s="90">
        <f t="shared" si="233"/>
        <v>94.71504</v>
      </c>
      <c r="D523" s="198">
        <f t="shared" si="250"/>
        <v>0</v>
      </c>
      <c r="E523" s="198">
        <f t="shared" si="250"/>
        <v>0</v>
      </c>
      <c r="F523" s="199">
        <f>F529</f>
        <v>94.71504</v>
      </c>
      <c r="G523" s="199">
        <f>G529</f>
        <v>0</v>
      </c>
      <c r="H523" s="199">
        <f t="shared" si="250"/>
        <v>0</v>
      </c>
      <c r="I523" s="199">
        <f t="shared" si="250"/>
        <v>0</v>
      </c>
      <c r="J523" s="200">
        <f t="shared" si="251"/>
        <v>0</v>
      </c>
      <c r="K523" s="200">
        <f t="shared" si="251"/>
        <v>0</v>
      </c>
      <c r="L523" s="200">
        <f t="shared" si="251"/>
        <v>0</v>
      </c>
      <c r="M523" s="200">
        <f t="shared" si="251"/>
        <v>0</v>
      </c>
      <c r="N523" s="200">
        <f t="shared" si="252"/>
        <v>0</v>
      </c>
      <c r="O523" s="200">
        <f t="shared" si="252"/>
        <v>0</v>
      </c>
      <c r="P523" s="200">
        <f t="shared" si="252"/>
        <v>0</v>
      </c>
      <c r="Q523" s="30"/>
    </row>
    <row r="524" spans="1:17" ht="46.5" outlineLevel="1">
      <c r="A524" s="12">
        <v>395</v>
      </c>
      <c r="B524" s="1" t="s">
        <v>122</v>
      </c>
      <c r="C524" s="90">
        <f t="shared" si="233"/>
        <v>9471.503999999999</v>
      </c>
      <c r="D524" s="27">
        <f>SUM(D525:D528)</f>
        <v>0</v>
      </c>
      <c r="E524" s="27">
        <f>SUM(E525:E528)</f>
        <v>0</v>
      </c>
      <c r="F524" s="91">
        <f aca="true" t="shared" si="253" ref="F524:K524">SUM(F525:F529)</f>
        <v>9471.503999999999</v>
      </c>
      <c r="G524" s="130">
        <f t="shared" si="253"/>
        <v>0</v>
      </c>
      <c r="H524" s="130">
        <f t="shared" si="253"/>
        <v>0</v>
      </c>
      <c r="I524" s="130">
        <f t="shared" si="253"/>
        <v>0</v>
      </c>
      <c r="J524" s="154">
        <f t="shared" si="253"/>
        <v>0</v>
      </c>
      <c r="K524" s="154">
        <f t="shared" si="253"/>
        <v>0</v>
      </c>
      <c r="L524" s="154"/>
      <c r="M524" s="154"/>
      <c r="N524" s="154"/>
      <c r="O524" s="154"/>
      <c r="P524" s="154"/>
      <c r="Q524" s="26"/>
    </row>
    <row r="525" spans="1:17" ht="15" outlineLevel="1">
      <c r="A525" s="12">
        <v>396</v>
      </c>
      <c r="B525" s="1" t="s">
        <v>3</v>
      </c>
      <c r="C525" s="90">
        <f t="shared" si="233"/>
        <v>473.5752</v>
      </c>
      <c r="D525" s="40">
        <v>0</v>
      </c>
      <c r="E525" s="40">
        <v>0</v>
      </c>
      <c r="F525" s="123">
        <v>473.5752</v>
      </c>
      <c r="G525" s="122"/>
      <c r="H525" s="122"/>
      <c r="I525" s="122"/>
      <c r="J525" s="143"/>
      <c r="K525" s="143"/>
      <c r="L525" s="143"/>
      <c r="M525" s="143"/>
      <c r="N525" s="143"/>
      <c r="O525" s="143"/>
      <c r="P525" s="143"/>
      <c r="Q525" s="26"/>
    </row>
    <row r="526" spans="1:17" ht="15" outlineLevel="1">
      <c r="A526" s="12">
        <v>397</v>
      </c>
      <c r="B526" s="1" t="s">
        <v>1</v>
      </c>
      <c r="C526" s="90">
        <f t="shared" si="233"/>
        <v>0</v>
      </c>
      <c r="D526" s="40">
        <v>0</v>
      </c>
      <c r="E526" s="40"/>
      <c r="F526" s="122"/>
      <c r="G526" s="122"/>
      <c r="H526" s="122"/>
      <c r="I526" s="122"/>
      <c r="J526" s="143"/>
      <c r="K526" s="143"/>
      <c r="L526" s="143"/>
      <c r="M526" s="143"/>
      <c r="N526" s="143"/>
      <c r="O526" s="143"/>
      <c r="P526" s="143"/>
      <c r="Q526" s="26"/>
    </row>
    <row r="527" spans="1:17" ht="15" outlineLevel="1">
      <c r="A527" s="12">
        <v>398</v>
      </c>
      <c r="B527" s="1" t="s">
        <v>2</v>
      </c>
      <c r="C527" s="90">
        <f t="shared" si="233"/>
        <v>8903.21376</v>
      </c>
      <c r="D527" s="40">
        <v>0</v>
      </c>
      <c r="E527" s="40"/>
      <c r="F527" s="144">
        <f>8907.949512-8907.949512+8903.21376</f>
        <v>8903.21376</v>
      </c>
      <c r="G527" s="122"/>
      <c r="H527" s="122"/>
      <c r="I527" s="122"/>
      <c r="J527" s="143"/>
      <c r="K527" s="143"/>
      <c r="L527" s="143"/>
      <c r="M527" s="143"/>
      <c r="N527" s="143"/>
      <c r="O527" s="143"/>
      <c r="P527" s="143"/>
      <c r="Q527" s="26"/>
    </row>
    <row r="528" spans="1:17" ht="15" outlineLevel="1">
      <c r="A528" s="12">
        <v>399</v>
      </c>
      <c r="B528" s="1" t="s">
        <v>4</v>
      </c>
      <c r="C528" s="90">
        <f t="shared" si="233"/>
        <v>0</v>
      </c>
      <c r="D528" s="55">
        <v>0</v>
      </c>
      <c r="E528" s="55"/>
      <c r="F528" s="145"/>
      <c r="G528" s="145"/>
      <c r="H528" s="145"/>
      <c r="I528" s="145"/>
      <c r="J528" s="162"/>
      <c r="K528" s="162"/>
      <c r="L528" s="162"/>
      <c r="M528" s="162"/>
      <c r="N528" s="162"/>
      <c r="O528" s="162"/>
      <c r="P528" s="162"/>
      <c r="Q528" s="30"/>
    </row>
    <row r="529" spans="1:17" ht="15" outlineLevel="1">
      <c r="A529" s="12">
        <v>400</v>
      </c>
      <c r="B529" s="1" t="s">
        <v>123</v>
      </c>
      <c r="C529" s="90">
        <f t="shared" si="233"/>
        <v>94.71504</v>
      </c>
      <c r="D529" s="55"/>
      <c r="E529" s="55"/>
      <c r="F529" s="144">
        <f>94.71504</f>
        <v>94.71504</v>
      </c>
      <c r="G529" s="145"/>
      <c r="H529" s="145"/>
      <c r="I529" s="145"/>
      <c r="J529" s="162"/>
      <c r="K529" s="162"/>
      <c r="L529" s="162"/>
      <c r="M529" s="162"/>
      <c r="N529" s="162"/>
      <c r="O529" s="162"/>
      <c r="P529" s="162"/>
      <c r="Q529" s="30"/>
    </row>
    <row r="530" spans="1:17" ht="62.25" outlineLevel="1">
      <c r="A530" s="12">
        <v>401</v>
      </c>
      <c r="B530" s="1" t="s">
        <v>130</v>
      </c>
      <c r="C530" s="90">
        <f t="shared" si="233"/>
        <v>600</v>
      </c>
      <c r="D530" s="27">
        <f aca="true" t="shared" si="254" ref="D530:K530">SUM(D531:D534)</f>
        <v>0</v>
      </c>
      <c r="E530" s="27">
        <f t="shared" si="254"/>
        <v>0</v>
      </c>
      <c r="F530" s="91">
        <f>SUM(F531:F534)</f>
        <v>600</v>
      </c>
      <c r="G530" s="130">
        <f t="shared" si="254"/>
        <v>0</v>
      </c>
      <c r="H530" s="130">
        <f t="shared" si="254"/>
        <v>0</v>
      </c>
      <c r="I530" s="130">
        <f t="shared" si="254"/>
        <v>0</v>
      </c>
      <c r="J530" s="154">
        <f t="shared" si="254"/>
        <v>0</v>
      </c>
      <c r="K530" s="154">
        <f t="shared" si="254"/>
        <v>0</v>
      </c>
      <c r="L530" s="154"/>
      <c r="M530" s="154"/>
      <c r="N530" s="154"/>
      <c r="O530" s="154"/>
      <c r="P530" s="154"/>
      <c r="Q530" s="26"/>
    </row>
    <row r="531" spans="1:17" ht="15" outlineLevel="1">
      <c r="A531" s="12">
        <v>402</v>
      </c>
      <c r="B531" s="1" t="s">
        <v>3</v>
      </c>
      <c r="C531" s="90">
        <f t="shared" si="233"/>
        <v>600</v>
      </c>
      <c r="D531" s="40"/>
      <c r="E531" s="40"/>
      <c r="F531" s="123">
        <v>600</v>
      </c>
      <c r="G531" s="122"/>
      <c r="H531" s="130"/>
      <c r="I531" s="130"/>
      <c r="J531" s="154"/>
      <c r="K531" s="154"/>
      <c r="L531" s="154"/>
      <c r="M531" s="154"/>
      <c r="N531" s="154"/>
      <c r="O531" s="154"/>
      <c r="P531" s="154"/>
      <c r="Q531" s="26"/>
    </row>
    <row r="532" spans="1:17" ht="15" outlineLevel="1">
      <c r="A532" s="12">
        <v>403</v>
      </c>
      <c r="B532" s="1" t="s">
        <v>1</v>
      </c>
      <c r="C532" s="90">
        <f t="shared" si="233"/>
        <v>0</v>
      </c>
      <c r="D532" s="27"/>
      <c r="E532" s="27"/>
      <c r="F532" s="130"/>
      <c r="G532" s="130"/>
      <c r="H532" s="130"/>
      <c r="I532" s="130"/>
      <c r="J532" s="154"/>
      <c r="K532" s="154"/>
      <c r="L532" s="154"/>
      <c r="M532" s="154"/>
      <c r="N532" s="154"/>
      <c r="O532" s="154"/>
      <c r="P532" s="154"/>
      <c r="Q532" s="26"/>
    </row>
    <row r="533" spans="1:17" ht="15" outlineLevel="1">
      <c r="A533" s="12">
        <v>404</v>
      </c>
      <c r="B533" s="1" t="s">
        <v>2</v>
      </c>
      <c r="C533" s="90">
        <f t="shared" si="233"/>
        <v>0</v>
      </c>
      <c r="D533" s="27"/>
      <c r="E533" s="27"/>
      <c r="F533" s="130"/>
      <c r="G533" s="130"/>
      <c r="H533" s="130"/>
      <c r="I533" s="130"/>
      <c r="J533" s="154"/>
      <c r="K533" s="154"/>
      <c r="L533" s="154"/>
      <c r="M533" s="154"/>
      <c r="N533" s="154"/>
      <c r="O533" s="154"/>
      <c r="P533" s="154"/>
      <c r="Q533" s="26"/>
    </row>
    <row r="534" spans="1:17" ht="15" outlineLevel="1">
      <c r="A534" s="12">
        <v>405</v>
      </c>
      <c r="B534" s="1" t="s">
        <v>4</v>
      </c>
      <c r="C534" s="90">
        <f t="shared" si="233"/>
        <v>0</v>
      </c>
      <c r="D534" s="27"/>
      <c r="E534" s="27"/>
      <c r="F534" s="130"/>
      <c r="G534" s="130"/>
      <c r="H534" s="130"/>
      <c r="I534" s="130"/>
      <c r="J534" s="154"/>
      <c r="K534" s="154"/>
      <c r="L534" s="154"/>
      <c r="M534" s="154"/>
      <c r="N534" s="154"/>
      <c r="O534" s="154"/>
      <c r="P534" s="154"/>
      <c r="Q534" s="26"/>
    </row>
    <row r="535" spans="1:17" ht="78" outlineLevel="1">
      <c r="A535" s="12">
        <v>406</v>
      </c>
      <c r="B535" s="16" t="s">
        <v>132</v>
      </c>
      <c r="C535" s="90">
        <f t="shared" si="233"/>
        <v>4735.7519999999995</v>
      </c>
      <c r="D535" s="130">
        <f aca="true" t="shared" si="255" ref="D535:K535">SUM(D536:D539)</f>
        <v>0</v>
      </c>
      <c r="E535" s="130">
        <f t="shared" si="255"/>
        <v>0</v>
      </c>
      <c r="F535" s="91">
        <f t="shared" si="255"/>
        <v>4735.7519999999995</v>
      </c>
      <c r="G535" s="130">
        <f t="shared" si="255"/>
        <v>0</v>
      </c>
      <c r="H535" s="130">
        <f t="shared" si="255"/>
        <v>0</v>
      </c>
      <c r="I535" s="130">
        <f t="shared" si="255"/>
        <v>0</v>
      </c>
      <c r="J535" s="130">
        <f t="shared" si="255"/>
        <v>0</v>
      </c>
      <c r="K535" s="130">
        <f t="shared" si="255"/>
        <v>0</v>
      </c>
      <c r="L535" s="130"/>
      <c r="M535" s="130"/>
      <c r="N535" s="130"/>
      <c r="O535" s="130"/>
      <c r="P535" s="130"/>
      <c r="Q535" s="26"/>
    </row>
    <row r="536" spans="1:17" ht="15" outlineLevel="1">
      <c r="A536" s="12">
        <v>407</v>
      </c>
      <c r="B536" s="1" t="s">
        <v>3</v>
      </c>
      <c r="C536" s="90">
        <f t="shared" si="233"/>
        <v>243.552</v>
      </c>
      <c r="D536" s="122"/>
      <c r="E536" s="122"/>
      <c r="F536" s="123">
        <v>243.552</v>
      </c>
      <c r="G536" s="122"/>
      <c r="H536" s="122">
        <f>1300-1300</f>
        <v>0</v>
      </c>
      <c r="I536" s="122">
        <f>1300-1300</f>
        <v>0</v>
      </c>
      <c r="J536" s="143"/>
      <c r="K536" s="143"/>
      <c r="L536" s="143"/>
      <c r="M536" s="143"/>
      <c r="N536" s="143"/>
      <c r="O536" s="143"/>
      <c r="P536" s="143"/>
      <c r="Q536" s="26"/>
    </row>
    <row r="537" spans="1:17" ht="15" outlineLevel="1">
      <c r="A537" s="12">
        <v>408</v>
      </c>
      <c r="B537" s="1" t="s">
        <v>1</v>
      </c>
      <c r="C537" s="90">
        <f t="shared" si="233"/>
        <v>0</v>
      </c>
      <c r="D537" s="122"/>
      <c r="E537" s="122"/>
      <c r="F537" s="122"/>
      <c r="G537" s="122"/>
      <c r="H537" s="122"/>
      <c r="I537" s="122"/>
      <c r="J537" s="143"/>
      <c r="K537" s="143"/>
      <c r="L537" s="143"/>
      <c r="M537" s="143"/>
      <c r="N537" s="143"/>
      <c r="O537" s="143"/>
      <c r="P537" s="143"/>
      <c r="Q537" s="26"/>
    </row>
    <row r="538" spans="1:17" ht="15" outlineLevel="1">
      <c r="A538" s="12">
        <v>409</v>
      </c>
      <c r="B538" s="1" t="s">
        <v>2</v>
      </c>
      <c r="C538" s="90">
        <f t="shared" si="233"/>
        <v>4492.2</v>
      </c>
      <c r="D538" s="122"/>
      <c r="E538" s="122"/>
      <c r="F538" s="123">
        <v>4492.2</v>
      </c>
      <c r="G538" s="122"/>
      <c r="H538" s="122"/>
      <c r="I538" s="122"/>
      <c r="J538" s="143"/>
      <c r="K538" s="143"/>
      <c r="L538" s="143"/>
      <c r="M538" s="143"/>
      <c r="N538" s="143"/>
      <c r="O538" s="143"/>
      <c r="P538" s="143"/>
      <c r="Q538" s="26"/>
    </row>
    <row r="539" spans="1:17" ht="15" outlineLevel="1">
      <c r="A539" s="12">
        <v>410</v>
      </c>
      <c r="B539" s="1" t="s">
        <v>4</v>
      </c>
      <c r="C539" s="90">
        <f t="shared" si="233"/>
        <v>0</v>
      </c>
      <c r="D539" s="122"/>
      <c r="E539" s="122"/>
      <c r="F539" s="122"/>
      <c r="G539" s="122"/>
      <c r="H539" s="122">
        <f>5600-5600</f>
        <v>0</v>
      </c>
      <c r="I539" s="122">
        <f>5600-5600</f>
        <v>0</v>
      </c>
      <c r="J539" s="143"/>
      <c r="K539" s="143"/>
      <c r="L539" s="143"/>
      <c r="M539" s="143"/>
      <c r="N539" s="143"/>
      <c r="O539" s="143"/>
      <c r="P539" s="143"/>
      <c r="Q539" s="26"/>
    </row>
    <row r="540" spans="1:17" ht="78" outlineLevel="1">
      <c r="A540" s="12">
        <v>411</v>
      </c>
      <c r="B540" s="1" t="s">
        <v>124</v>
      </c>
      <c r="C540" s="90">
        <f t="shared" si="233"/>
        <v>50</v>
      </c>
      <c r="D540" s="130">
        <f>SUM(D541:D545)</f>
        <v>0</v>
      </c>
      <c r="E540" s="130">
        <f>SUM(E541:E545)</f>
        <v>0</v>
      </c>
      <c r="F540" s="91">
        <f>SUM(F541:F543)</f>
        <v>50</v>
      </c>
      <c r="G540" s="130">
        <f>SUM(G541:G545)</f>
        <v>0</v>
      </c>
      <c r="H540" s="130">
        <f>SUM(H541:H545)</f>
        <v>0</v>
      </c>
      <c r="I540" s="130">
        <f>SUM(I541:I545)</f>
        <v>0</v>
      </c>
      <c r="J540" s="130">
        <f>SUM(J541:J545)</f>
        <v>0</v>
      </c>
      <c r="K540" s="130">
        <f>SUM(K541:K545)</f>
        <v>0</v>
      </c>
      <c r="L540" s="130"/>
      <c r="M540" s="130"/>
      <c r="N540" s="130"/>
      <c r="O540" s="130"/>
      <c r="P540" s="130"/>
      <c r="Q540" s="54"/>
    </row>
    <row r="541" spans="1:17" ht="15" outlineLevel="1">
      <c r="A541" s="12">
        <v>412</v>
      </c>
      <c r="B541" s="1" t="s">
        <v>3</v>
      </c>
      <c r="C541" s="90">
        <f t="shared" si="233"/>
        <v>50</v>
      </c>
      <c r="D541" s="122"/>
      <c r="E541" s="122"/>
      <c r="F541" s="123">
        <v>50</v>
      </c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54"/>
    </row>
    <row r="542" spans="1:17" ht="15" outlineLevel="1">
      <c r="A542" s="12">
        <v>413</v>
      </c>
      <c r="B542" s="1" t="s">
        <v>1</v>
      </c>
      <c r="C542" s="90">
        <f t="shared" si="233"/>
        <v>0</v>
      </c>
      <c r="D542" s="122"/>
      <c r="E542" s="122"/>
      <c r="F542" s="146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54"/>
    </row>
    <row r="543" spans="1:17" ht="15" outlineLevel="1">
      <c r="A543" s="12">
        <v>414</v>
      </c>
      <c r="B543" s="1" t="s">
        <v>2</v>
      </c>
      <c r="C543" s="90">
        <f t="shared" si="233"/>
        <v>0</v>
      </c>
      <c r="D543" s="122"/>
      <c r="E543" s="122"/>
      <c r="F543" s="146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54"/>
    </row>
    <row r="544" spans="1:17" ht="15" outlineLevel="1">
      <c r="A544" s="12">
        <v>415</v>
      </c>
      <c r="B544" s="1" t="s">
        <v>4</v>
      </c>
      <c r="C544" s="90">
        <f t="shared" si="233"/>
        <v>0</v>
      </c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26"/>
    </row>
    <row r="545" spans="1:17" ht="15" outlineLevel="1">
      <c r="A545" s="12">
        <v>416</v>
      </c>
      <c r="B545" s="1" t="s">
        <v>123</v>
      </c>
      <c r="C545" s="90">
        <f t="shared" si="233"/>
        <v>0</v>
      </c>
      <c r="D545" s="27"/>
      <c r="E545" s="27"/>
      <c r="F545" s="122"/>
      <c r="G545" s="122"/>
      <c r="H545" s="122"/>
      <c r="I545" s="122"/>
      <c r="J545" s="143"/>
      <c r="K545" s="143"/>
      <c r="L545" s="143"/>
      <c r="M545" s="143"/>
      <c r="N545" s="143"/>
      <c r="O545" s="143"/>
      <c r="P545" s="143"/>
      <c r="Q545" s="26"/>
    </row>
    <row r="546" spans="1:17" ht="15" outlineLevel="1">
      <c r="A546" s="12">
        <v>417</v>
      </c>
      <c r="B546" s="293" t="s">
        <v>139</v>
      </c>
      <c r="C546" s="294"/>
      <c r="D546" s="294"/>
      <c r="E546" s="294"/>
      <c r="F546" s="294"/>
      <c r="G546" s="294"/>
      <c r="H546" s="294"/>
      <c r="I546" s="294"/>
      <c r="J546" s="294"/>
      <c r="K546" s="294"/>
      <c r="L546" s="294"/>
      <c r="M546" s="294"/>
      <c r="N546" s="294"/>
      <c r="O546" s="294"/>
      <c r="P546" s="294"/>
      <c r="Q546" s="295"/>
    </row>
    <row r="547" spans="1:17" ht="15" outlineLevel="1">
      <c r="A547" s="12">
        <v>418</v>
      </c>
      <c r="B547" s="86" t="s">
        <v>140</v>
      </c>
      <c r="C547" s="90">
        <f t="shared" si="233"/>
        <v>283960.22417</v>
      </c>
      <c r="D547" s="90">
        <f aca="true" t="shared" si="256" ref="D547:K547">SUM(D548:D551)</f>
        <v>0</v>
      </c>
      <c r="E547" s="90">
        <f t="shared" si="256"/>
        <v>0</v>
      </c>
      <c r="F547" s="90">
        <f t="shared" si="256"/>
        <v>0</v>
      </c>
      <c r="G547" s="90">
        <f t="shared" si="256"/>
        <v>2130.85</v>
      </c>
      <c r="H547" s="91">
        <f t="shared" si="256"/>
        <v>25</v>
      </c>
      <c r="I547" s="91">
        <f t="shared" si="256"/>
        <v>1180</v>
      </c>
      <c r="J547" s="90">
        <f t="shared" si="256"/>
        <v>17887.97217</v>
      </c>
      <c r="K547" s="90">
        <f t="shared" si="256"/>
        <v>143233</v>
      </c>
      <c r="L547" s="90">
        <f>SUM(L548:L551)</f>
        <v>119503.402</v>
      </c>
      <c r="M547" s="90">
        <f>SUM(M548:M551)</f>
        <v>0</v>
      </c>
      <c r="N547" s="90">
        <f>SUM(N548:N551)</f>
        <v>0</v>
      </c>
      <c r="O547" s="90">
        <f>SUM(O548:O551)</f>
        <v>0</v>
      </c>
      <c r="P547" s="90">
        <f>SUM(P548:P551)</f>
        <v>0</v>
      </c>
      <c r="Q547" s="87"/>
    </row>
    <row r="548" spans="1:17" ht="15" outlineLevel="1">
      <c r="A548" s="12">
        <v>419</v>
      </c>
      <c r="B548" s="86" t="s">
        <v>3</v>
      </c>
      <c r="C548" s="90">
        <f t="shared" si="233"/>
        <v>88650.02416999999</v>
      </c>
      <c r="D548" s="108">
        <f aca="true" t="shared" si="257" ref="D548:K548">SUM(D554,)</f>
        <v>0</v>
      </c>
      <c r="E548" s="108">
        <f t="shared" si="257"/>
        <v>0</v>
      </c>
      <c r="F548" s="108">
        <f t="shared" si="257"/>
        <v>0</v>
      </c>
      <c r="G548" s="108">
        <f t="shared" si="257"/>
        <v>2130.85</v>
      </c>
      <c r="H548" s="123">
        <f t="shared" si="257"/>
        <v>25</v>
      </c>
      <c r="I548" s="123">
        <f t="shared" si="257"/>
        <v>1180</v>
      </c>
      <c r="J548" s="108">
        <f t="shared" si="257"/>
        <v>14226.17217</v>
      </c>
      <c r="K548" s="108">
        <f t="shared" si="257"/>
        <v>10016.4</v>
      </c>
      <c r="L548" s="108">
        <f aca="true" t="shared" si="258" ref="L548:M551">SUM(L554,)</f>
        <v>61071.602</v>
      </c>
      <c r="M548" s="108">
        <f t="shared" si="258"/>
        <v>0</v>
      </c>
      <c r="N548" s="108">
        <f aca="true" t="shared" si="259" ref="N548:P551">SUM(N554,)</f>
        <v>0</v>
      </c>
      <c r="O548" s="108">
        <f t="shared" si="259"/>
        <v>0</v>
      </c>
      <c r="P548" s="108">
        <f t="shared" si="259"/>
        <v>0</v>
      </c>
      <c r="Q548" s="87"/>
    </row>
    <row r="549" spans="1:17" ht="15" outlineLevel="1">
      <c r="A549" s="12">
        <v>420</v>
      </c>
      <c r="B549" s="86" t="s">
        <v>1</v>
      </c>
      <c r="C549" s="90">
        <f t="shared" si="233"/>
        <v>0</v>
      </c>
      <c r="D549" s="108">
        <f aca="true" t="shared" si="260" ref="D549:I551">SUM(D555,)</f>
        <v>0</v>
      </c>
      <c r="E549" s="108">
        <f t="shared" si="260"/>
        <v>0</v>
      </c>
      <c r="F549" s="108">
        <f t="shared" si="260"/>
        <v>0</v>
      </c>
      <c r="G549" s="108">
        <f t="shared" si="260"/>
        <v>0</v>
      </c>
      <c r="H549" s="123">
        <f t="shared" si="260"/>
        <v>0</v>
      </c>
      <c r="I549" s="123">
        <f t="shared" si="260"/>
        <v>0</v>
      </c>
      <c r="J549" s="108">
        <f aca="true" t="shared" si="261" ref="J549:K551">SUM(J555,)</f>
        <v>0</v>
      </c>
      <c r="K549" s="108">
        <f t="shared" si="261"/>
        <v>0</v>
      </c>
      <c r="L549" s="108">
        <f t="shared" si="258"/>
        <v>0</v>
      </c>
      <c r="M549" s="108">
        <f t="shared" si="258"/>
        <v>0</v>
      </c>
      <c r="N549" s="108">
        <f t="shared" si="259"/>
        <v>0</v>
      </c>
      <c r="O549" s="108">
        <f t="shared" si="259"/>
        <v>0</v>
      </c>
      <c r="P549" s="108">
        <f t="shared" si="259"/>
        <v>0</v>
      </c>
      <c r="Q549" s="87"/>
    </row>
    <row r="550" spans="1:17" ht="15" outlineLevel="1">
      <c r="A550" s="12">
        <v>421</v>
      </c>
      <c r="B550" s="86" t="s">
        <v>2</v>
      </c>
      <c r="C550" s="90">
        <f t="shared" si="233"/>
        <v>195310.2</v>
      </c>
      <c r="D550" s="108">
        <f t="shared" si="260"/>
        <v>0</v>
      </c>
      <c r="E550" s="108">
        <f t="shared" si="260"/>
        <v>0</v>
      </c>
      <c r="F550" s="108">
        <f t="shared" si="260"/>
        <v>0</v>
      </c>
      <c r="G550" s="108">
        <f t="shared" si="260"/>
        <v>0</v>
      </c>
      <c r="H550" s="123">
        <f t="shared" si="260"/>
        <v>0</v>
      </c>
      <c r="I550" s="123">
        <f t="shared" si="260"/>
        <v>0</v>
      </c>
      <c r="J550" s="108">
        <f t="shared" si="261"/>
        <v>3661.8</v>
      </c>
      <c r="K550" s="108">
        <f t="shared" si="261"/>
        <v>133216.6</v>
      </c>
      <c r="L550" s="108">
        <f t="shared" si="258"/>
        <v>58431.8</v>
      </c>
      <c r="M550" s="108">
        <f t="shared" si="258"/>
        <v>0</v>
      </c>
      <c r="N550" s="108">
        <f t="shared" si="259"/>
        <v>0</v>
      </c>
      <c r="O550" s="108">
        <f t="shared" si="259"/>
        <v>0</v>
      </c>
      <c r="P550" s="108">
        <f t="shared" si="259"/>
        <v>0</v>
      </c>
      <c r="Q550" s="87"/>
    </row>
    <row r="551" spans="1:17" ht="15" outlineLevel="1">
      <c r="A551" s="12">
        <v>422</v>
      </c>
      <c r="B551" s="88" t="s">
        <v>4</v>
      </c>
      <c r="C551" s="90">
        <f t="shared" si="233"/>
        <v>0</v>
      </c>
      <c r="D551" s="108">
        <f t="shared" si="260"/>
        <v>0</v>
      </c>
      <c r="E551" s="108">
        <f t="shared" si="260"/>
        <v>0</v>
      </c>
      <c r="F551" s="108">
        <f t="shared" si="260"/>
        <v>0</v>
      </c>
      <c r="G551" s="108">
        <f t="shared" si="260"/>
        <v>0</v>
      </c>
      <c r="H551" s="123">
        <f t="shared" si="260"/>
        <v>0</v>
      </c>
      <c r="I551" s="123">
        <f t="shared" si="260"/>
        <v>0</v>
      </c>
      <c r="J551" s="108">
        <f t="shared" si="261"/>
        <v>0</v>
      </c>
      <c r="K551" s="108">
        <f t="shared" si="261"/>
        <v>0</v>
      </c>
      <c r="L551" s="108">
        <f t="shared" si="258"/>
        <v>0</v>
      </c>
      <c r="M551" s="108">
        <f t="shared" si="258"/>
        <v>0</v>
      </c>
      <c r="N551" s="108">
        <f t="shared" si="259"/>
        <v>0</v>
      </c>
      <c r="O551" s="108">
        <f t="shared" si="259"/>
        <v>0</v>
      </c>
      <c r="P551" s="108">
        <f t="shared" si="259"/>
        <v>0</v>
      </c>
      <c r="Q551" s="89"/>
    </row>
    <row r="552" spans="1:17" ht="15" outlineLevel="1">
      <c r="A552" s="12">
        <v>423</v>
      </c>
      <c r="B552" s="296" t="s">
        <v>138</v>
      </c>
      <c r="C552" s="297"/>
      <c r="D552" s="297"/>
      <c r="E552" s="297"/>
      <c r="F552" s="297"/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8"/>
    </row>
    <row r="553" spans="1:17" ht="30.75" outlineLevel="1">
      <c r="A553" s="12">
        <v>424</v>
      </c>
      <c r="B553" s="86" t="s">
        <v>69</v>
      </c>
      <c r="C553" s="90">
        <f t="shared" si="233"/>
        <v>283960.22417</v>
      </c>
      <c r="D553" s="147">
        <f>SUM(D554:D557)</f>
        <v>0</v>
      </c>
      <c r="E553" s="147">
        <f aca="true" t="shared" si="262" ref="E553:K553">SUM(E554:E557)</f>
        <v>0</v>
      </c>
      <c r="F553" s="147">
        <f t="shared" si="262"/>
        <v>0</v>
      </c>
      <c r="G553" s="147">
        <f t="shared" si="262"/>
        <v>2130.85</v>
      </c>
      <c r="H553" s="211">
        <f t="shared" si="262"/>
        <v>25</v>
      </c>
      <c r="I553" s="211">
        <f t="shared" si="262"/>
        <v>1180</v>
      </c>
      <c r="J553" s="147">
        <f t="shared" si="262"/>
        <v>17887.97217</v>
      </c>
      <c r="K553" s="147">
        <f t="shared" si="262"/>
        <v>143233</v>
      </c>
      <c r="L553" s="147">
        <f>SUM(L554:L557)</f>
        <v>119503.402</v>
      </c>
      <c r="M553" s="147">
        <f>SUM(M554:M557)</f>
        <v>0</v>
      </c>
      <c r="N553" s="147">
        <f>SUM(N554:N557)</f>
        <v>0</v>
      </c>
      <c r="O553" s="147">
        <f>SUM(O554:O557)</f>
        <v>0</v>
      </c>
      <c r="P553" s="147">
        <f>SUM(P554:P557)</f>
        <v>0</v>
      </c>
      <c r="Q553" s="86"/>
    </row>
    <row r="554" spans="1:17" ht="15" outlineLevel="1">
      <c r="A554" s="12">
        <v>425</v>
      </c>
      <c r="B554" s="86" t="s">
        <v>3</v>
      </c>
      <c r="C554" s="90">
        <f t="shared" si="233"/>
        <v>88650.02416999999</v>
      </c>
      <c r="D554" s="108">
        <f aca="true" t="shared" si="263" ref="D554:M554">D559+D564+D569</f>
        <v>0</v>
      </c>
      <c r="E554" s="108">
        <f t="shared" si="263"/>
        <v>0</v>
      </c>
      <c r="F554" s="108">
        <f t="shared" si="263"/>
        <v>0</v>
      </c>
      <c r="G554" s="108">
        <f t="shared" si="263"/>
        <v>2130.85</v>
      </c>
      <c r="H554" s="108">
        <f t="shared" si="263"/>
        <v>25</v>
      </c>
      <c r="I554" s="108">
        <f t="shared" si="263"/>
        <v>1180</v>
      </c>
      <c r="J554" s="108">
        <f t="shared" si="263"/>
        <v>14226.17217</v>
      </c>
      <c r="K554" s="108">
        <f t="shared" si="263"/>
        <v>10016.4</v>
      </c>
      <c r="L554" s="108">
        <f t="shared" si="263"/>
        <v>61071.602</v>
      </c>
      <c r="M554" s="108">
        <f t="shared" si="263"/>
        <v>0</v>
      </c>
      <c r="N554" s="108">
        <f aca="true" t="shared" si="264" ref="N554:P557">N559+N564+N569</f>
        <v>0</v>
      </c>
      <c r="O554" s="108">
        <f t="shared" si="264"/>
        <v>0</v>
      </c>
      <c r="P554" s="108">
        <f t="shared" si="264"/>
        <v>0</v>
      </c>
      <c r="Q554" s="87" t="s">
        <v>67</v>
      </c>
    </row>
    <row r="555" spans="1:17" ht="15" outlineLevel="1">
      <c r="A555" s="12">
        <v>426</v>
      </c>
      <c r="B555" s="86" t="s">
        <v>1</v>
      </c>
      <c r="C555" s="90">
        <f t="shared" si="233"/>
        <v>0</v>
      </c>
      <c r="D555" s="108">
        <f aca="true" t="shared" si="265" ref="D555:M555">D560+D565+D570</f>
        <v>0</v>
      </c>
      <c r="E555" s="108">
        <f t="shared" si="265"/>
        <v>0</v>
      </c>
      <c r="F555" s="108">
        <f t="shared" si="265"/>
        <v>0</v>
      </c>
      <c r="G555" s="108">
        <f t="shared" si="265"/>
        <v>0</v>
      </c>
      <c r="H555" s="108">
        <f t="shared" si="265"/>
        <v>0</v>
      </c>
      <c r="I555" s="108">
        <f t="shared" si="265"/>
        <v>0</v>
      </c>
      <c r="J555" s="108">
        <f t="shared" si="265"/>
        <v>0</v>
      </c>
      <c r="K555" s="108">
        <f t="shared" si="265"/>
        <v>0</v>
      </c>
      <c r="L555" s="108">
        <f t="shared" si="265"/>
        <v>0</v>
      </c>
      <c r="M555" s="108">
        <f t="shared" si="265"/>
        <v>0</v>
      </c>
      <c r="N555" s="108">
        <f t="shared" si="264"/>
        <v>0</v>
      </c>
      <c r="O555" s="108">
        <f t="shared" si="264"/>
        <v>0</v>
      </c>
      <c r="P555" s="108">
        <f t="shared" si="264"/>
        <v>0</v>
      </c>
      <c r="Q555" s="87"/>
    </row>
    <row r="556" spans="1:17" ht="15" outlineLevel="1">
      <c r="A556" s="12">
        <v>427</v>
      </c>
      <c r="B556" s="86" t="s">
        <v>2</v>
      </c>
      <c r="C556" s="90">
        <f t="shared" si="233"/>
        <v>195310.2</v>
      </c>
      <c r="D556" s="108">
        <f aca="true" t="shared" si="266" ref="D556:M556">D561+D566+D571</f>
        <v>0</v>
      </c>
      <c r="E556" s="108">
        <f t="shared" si="266"/>
        <v>0</v>
      </c>
      <c r="F556" s="108">
        <f t="shared" si="266"/>
        <v>0</v>
      </c>
      <c r="G556" s="108">
        <f t="shared" si="266"/>
        <v>0</v>
      </c>
      <c r="H556" s="108">
        <f t="shared" si="266"/>
        <v>0</v>
      </c>
      <c r="I556" s="108">
        <f t="shared" si="266"/>
        <v>0</v>
      </c>
      <c r="J556" s="108">
        <f t="shared" si="266"/>
        <v>3661.8</v>
      </c>
      <c r="K556" s="108">
        <f t="shared" si="266"/>
        <v>133216.6</v>
      </c>
      <c r="L556" s="108">
        <f t="shared" si="266"/>
        <v>58431.8</v>
      </c>
      <c r="M556" s="108">
        <f t="shared" si="266"/>
        <v>0</v>
      </c>
      <c r="N556" s="108">
        <f t="shared" si="264"/>
        <v>0</v>
      </c>
      <c r="O556" s="108">
        <f t="shared" si="264"/>
        <v>0</v>
      </c>
      <c r="P556" s="108">
        <f t="shared" si="264"/>
        <v>0</v>
      </c>
      <c r="Q556" s="87"/>
    </row>
    <row r="557" spans="1:17" ht="15" outlineLevel="1">
      <c r="A557" s="12">
        <v>428</v>
      </c>
      <c r="B557" s="88" t="s">
        <v>4</v>
      </c>
      <c r="C557" s="90">
        <f t="shared" si="233"/>
        <v>0</v>
      </c>
      <c r="D557" s="108">
        <f aca="true" t="shared" si="267" ref="D557:M557">D562+D567+D572</f>
        <v>0</v>
      </c>
      <c r="E557" s="108">
        <f t="shared" si="267"/>
        <v>0</v>
      </c>
      <c r="F557" s="108">
        <f t="shared" si="267"/>
        <v>0</v>
      </c>
      <c r="G557" s="108">
        <f t="shared" si="267"/>
        <v>0</v>
      </c>
      <c r="H557" s="108">
        <f t="shared" si="267"/>
        <v>0</v>
      </c>
      <c r="I557" s="108">
        <f t="shared" si="267"/>
        <v>0</v>
      </c>
      <c r="J557" s="108">
        <f t="shared" si="267"/>
        <v>0</v>
      </c>
      <c r="K557" s="108">
        <f t="shared" si="267"/>
        <v>0</v>
      </c>
      <c r="L557" s="108">
        <f t="shared" si="267"/>
        <v>0</v>
      </c>
      <c r="M557" s="108">
        <f t="shared" si="267"/>
        <v>0</v>
      </c>
      <c r="N557" s="108">
        <f t="shared" si="264"/>
        <v>0</v>
      </c>
      <c r="O557" s="108">
        <f t="shared" si="264"/>
        <v>0</v>
      </c>
      <c r="P557" s="108">
        <f t="shared" si="264"/>
        <v>0</v>
      </c>
      <c r="Q557" s="89"/>
    </row>
    <row r="558" spans="1:17" ht="78" outlineLevel="1">
      <c r="A558" s="12">
        <v>429</v>
      </c>
      <c r="B558" s="86" t="s">
        <v>158</v>
      </c>
      <c r="C558" s="90">
        <f t="shared" si="233"/>
        <v>6895.85</v>
      </c>
      <c r="D558" s="27">
        <f aca="true" t="shared" si="268" ref="D558:K558">SUM(D559:D562)</f>
        <v>0</v>
      </c>
      <c r="E558" s="27">
        <f t="shared" si="268"/>
        <v>0</v>
      </c>
      <c r="F558" s="154">
        <f t="shared" si="268"/>
        <v>0</v>
      </c>
      <c r="G558" s="91">
        <f t="shared" si="268"/>
        <v>2130.85</v>
      </c>
      <c r="H558" s="91">
        <f t="shared" si="268"/>
        <v>25</v>
      </c>
      <c r="I558" s="91">
        <f t="shared" si="268"/>
        <v>1180</v>
      </c>
      <c r="J558" s="91">
        <f t="shared" si="268"/>
        <v>30</v>
      </c>
      <c r="K558" s="91">
        <f t="shared" si="268"/>
        <v>3530</v>
      </c>
      <c r="L558" s="154"/>
      <c r="M558" s="154"/>
      <c r="N558" s="154"/>
      <c r="O558" s="154"/>
      <c r="P558" s="154"/>
      <c r="Q558" s="94">
        <v>68</v>
      </c>
    </row>
    <row r="559" spans="1:17" ht="15" outlineLevel="1">
      <c r="A559" s="12">
        <v>430</v>
      </c>
      <c r="B559" s="86" t="s">
        <v>3</v>
      </c>
      <c r="C559" s="90">
        <f t="shared" si="233"/>
        <v>6895.85</v>
      </c>
      <c r="D559" s="40"/>
      <c r="E559" s="40"/>
      <c r="F559" s="143"/>
      <c r="G559" s="123">
        <f>4268-2198+60.85</f>
        <v>2130.85</v>
      </c>
      <c r="H559" s="123">
        <v>25</v>
      </c>
      <c r="I559" s="123">
        <f>1025+155</f>
        <v>1180</v>
      </c>
      <c r="J559" s="123">
        <v>30</v>
      </c>
      <c r="K559" s="123">
        <f>3500+30</f>
        <v>3530</v>
      </c>
      <c r="L559" s="143"/>
      <c r="M559" s="143"/>
      <c r="N559" s="143"/>
      <c r="O559" s="143"/>
      <c r="P559" s="143"/>
      <c r="Q559" s="87"/>
    </row>
    <row r="560" spans="1:17" ht="15" outlineLevel="1">
      <c r="A560" s="12">
        <v>431</v>
      </c>
      <c r="B560" s="86" t="s">
        <v>1</v>
      </c>
      <c r="C560" s="90">
        <f t="shared" si="233"/>
        <v>0</v>
      </c>
      <c r="D560" s="40"/>
      <c r="E560" s="40"/>
      <c r="F560" s="143"/>
      <c r="G560" s="123"/>
      <c r="H560" s="165"/>
      <c r="I560" s="238"/>
      <c r="J560" s="201"/>
      <c r="K560" s="201"/>
      <c r="L560" s="201"/>
      <c r="M560" s="201"/>
      <c r="N560" s="201"/>
      <c r="O560" s="201"/>
      <c r="P560" s="201"/>
      <c r="Q560" s="87"/>
    </row>
    <row r="561" spans="1:17" ht="15" outlineLevel="1">
      <c r="A561" s="12">
        <v>432</v>
      </c>
      <c r="B561" s="86" t="s">
        <v>2</v>
      </c>
      <c r="C561" s="90">
        <f aca="true" t="shared" si="269" ref="C561:C589">SUM(D561:P561)</f>
        <v>0</v>
      </c>
      <c r="D561" s="40"/>
      <c r="E561" s="40"/>
      <c r="F561" s="162"/>
      <c r="G561" s="123"/>
      <c r="H561" s="123"/>
      <c r="I561" s="122"/>
      <c r="J561" s="143"/>
      <c r="K561" s="143"/>
      <c r="L561" s="143"/>
      <c r="M561" s="143"/>
      <c r="N561" s="143"/>
      <c r="O561" s="143"/>
      <c r="P561" s="143"/>
      <c r="Q561" s="87"/>
    </row>
    <row r="562" spans="1:17" ht="15" outlineLevel="1">
      <c r="A562" s="12">
        <v>433</v>
      </c>
      <c r="B562" s="86" t="s">
        <v>4</v>
      </c>
      <c r="C562" s="90">
        <f t="shared" si="269"/>
        <v>0</v>
      </c>
      <c r="D562" s="55"/>
      <c r="E562" s="55"/>
      <c r="F562" s="162"/>
      <c r="G562" s="144"/>
      <c r="H562" s="123"/>
      <c r="I562" s="122"/>
      <c r="J562" s="143"/>
      <c r="K562" s="162"/>
      <c r="L562" s="162"/>
      <c r="M562" s="162"/>
      <c r="N562" s="162"/>
      <c r="O562" s="162"/>
      <c r="P562" s="162"/>
      <c r="Q562" s="89"/>
    </row>
    <row r="563" spans="1:17" s="3" customFormat="1" ht="46.5" outlineLevel="1">
      <c r="A563" s="12">
        <v>434</v>
      </c>
      <c r="B563" s="241" t="s">
        <v>418</v>
      </c>
      <c r="C563" s="90">
        <f t="shared" si="269"/>
        <v>263275.102</v>
      </c>
      <c r="D563" s="242">
        <f aca="true" t="shared" si="270" ref="D563:J563">SUM(D564:D567)</f>
        <v>0</v>
      </c>
      <c r="E563" s="242">
        <f t="shared" si="270"/>
        <v>0</v>
      </c>
      <c r="F563" s="130">
        <f t="shared" si="270"/>
        <v>0</v>
      </c>
      <c r="G563" s="130">
        <f t="shared" si="270"/>
        <v>0</v>
      </c>
      <c r="H563" s="243">
        <f t="shared" si="270"/>
        <v>0</v>
      </c>
      <c r="I563" s="243">
        <f t="shared" si="270"/>
        <v>0</v>
      </c>
      <c r="J563" s="91">
        <f t="shared" si="270"/>
        <v>4068.7000000000003</v>
      </c>
      <c r="K563" s="67">
        <f>SUM(K564:K567)</f>
        <v>139703</v>
      </c>
      <c r="L563" s="67">
        <f>SUM(L564:L567)</f>
        <v>119503.402</v>
      </c>
      <c r="M563" s="130"/>
      <c r="N563" s="130"/>
      <c r="O563" s="130"/>
      <c r="P563" s="130"/>
      <c r="Q563" s="245">
        <v>69</v>
      </c>
    </row>
    <row r="564" spans="1:17" ht="15" outlineLevel="1">
      <c r="A564" s="12">
        <v>435</v>
      </c>
      <c r="B564" s="86" t="s">
        <v>3</v>
      </c>
      <c r="C564" s="90">
        <f t="shared" si="269"/>
        <v>67964.902</v>
      </c>
      <c r="D564" s="40"/>
      <c r="E564" s="40"/>
      <c r="F564" s="143"/>
      <c r="G564" s="122"/>
      <c r="H564" s="203"/>
      <c r="I564" s="123"/>
      <c r="J564" s="108">
        <v>406.9</v>
      </c>
      <c r="K564" s="200">
        <v>6486.4</v>
      </c>
      <c r="L564" s="200">
        <v>61071.602</v>
      </c>
      <c r="M564" s="143"/>
      <c r="N564" s="143"/>
      <c r="O564" s="143"/>
      <c r="P564" s="143"/>
      <c r="Q564" s="87"/>
    </row>
    <row r="565" spans="1:17" ht="15" outlineLevel="1">
      <c r="A565" s="12">
        <v>436</v>
      </c>
      <c r="B565" s="86" t="s">
        <v>1</v>
      </c>
      <c r="C565" s="90">
        <f t="shared" si="269"/>
        <v>0</v>
      </c>
      <c r="D565" s="40"/>
      <c r="E565" s="40"/>
      <c r="F565" s="143"/>
      <c r="G565" s="122"/>
      <c r="H565" s="204"/>
      <c r="I565" s="123"/>
      <c r="J565" s="108"/>
      <c r="K565" s="200"/>
      <c r="L565" s="143"/>
      <c r="M565" s="143"/>
      <c r="N565" s="143"/>
      <c r="O565" s="143"/>
      <c r="P565" s="143"/>
      <c r="Q565" s="87"/>
    </row>
    <row r="566" spans="1:17" ht="15" outlineLevel="1">
      <c r="A566" s="12">
        <v>437</v>
      </c>
      <c r="B566" s="86" t="s">
        <v>2</v>
      </c>
      <c r="C566" s="90">
        <f t="shared" si="269"/>
        <v>195310.2</v>
      </c>
      <c r="D566" s="40"/>
      <c r="E566" s="40"/>
      <c r="F566" s="143"/>
      <c r="G566" s="122"/>
      <c r="H566" s="203"/>
      <c r="I566" s="123"/>
      <c r="J566" s="108">
        <v>3661.8</v>
      </c>
      <c r="K566" s="200">
        <v>133216.6</v>
      </c>
      <c r="L566" s="200">
        <v>58431.8</v>
      </c>
      <c r="M566" s="143"/>
      <c r="N566" s="143"/>
      <c r="O566" s="143"/>
      <c r="P566" s="143"/>
      <c r="Q566" s="87"/>
    </row>
    <row r="567" spans="1:17" ht="15" outlineLevel="1">
      <c r="A567" s="12">
        <v>438</v>
      </c>
      <c r="B567" s="86" t="s">
        <v>4</v>
      </c>
      <c r="C567" s="90">
        <f t="shared" si="269"/>
        <v>0</v>
      </c>
      <c r="D567" s="40"/>
      <c r="E567" s="40"/>
      <c r="F567" s="143"/>
      <c r="G567" s="122"/>
      <c r="H567" s="203"/>
      <c r="I567" s="123"/>
      <c r="J567" s="108"/>
      <c r="K567" s="226"/>
      <c r="L567" s="226"/>
      <c r="M567" s="202"/>
      <c r="N567" s="202"/>
      <c r="O567" s="202"/>
      <c r="P567" s="202"/>
      <c r="Q567" s="87"/>
    </row>
    <row r="568" spans="1:17" s="3" customFormat="1" ht="62.25" outlineLevel="1">
      <c r="A568" s="15" t="s">
        <v>423</v>
      </c>
      <c r="B568" s="241" t="s">
        <v>419</v>
      </c>
      <c r="C568" s="90">
        <f t="shared" si="269"/>
        <v>13789.27217</v>
      </c>
      <c r="D568" s="242">
        <f aca="true" t="shared" si="271" ref="D568:K568">SUM(D569:D572)</f>
        <v>0</v>
      </c>
      <c r="E568" s="242">
        <f t="shared" si="271"/>
        <v>0</v>
      </c>
      <c r="F568" s="130">
        <f t="shared" si="271"/>
        <v>0</v>
      </c>
      <c r="G568" s="130">
        <f t="shared" si="271"/>
        <v>0</v>
      </c>
      <c r="H568" s="243">
        <f t="shared" si="271"/>
        <v>0</v>
      </c>
      <c r="I568" s="243">
        <f t="shared" si="271"/>
        <v>0</v>
      </c>
      <c r="J568" s="91">
        <f t="shared" si="271"/>
        <v>13789.27217</v>
      </c>
      <c r="K568" s="243">
        <f t="shared" si="271"/>
        <v>0</v>
      </c>
      <c r="L568" s="130"/>
      <c r="M568" s="130"/>
      <c r="N568" s="130"/>
      <c r="O568" s="130"/>
      <c r="P568" s="130"/>
      <c r="Q568" s="244"/>
    </row>
    <row r="569" spans="1:17" ht="15" outlineLevel="1">
      <c r="A569" s="15" t="s">
        <v>424</v>
      </c>
      <c r="B569" s="86" t="s">
        <v>3</v>
      </c>
      <c r="C569" s="90">
        <f t="shared" si="269"/>
        <v>13789.27217</v>
      </c>
      <c r="D569" s="40"/>
      <c r="E569" s="40"/>
      <c r="F569" s="143"/>
      <c r="G569" s="122"/>
      <c r="H569" s="203"/>
      <c r="I569" s="123"/>
      <c r="J569" s="108">
        <f>2182.09183+11607.18034</f>
        <v>13789.27217</v>
      </c>
      <c r="K569" s="200"/>
      <c r="L569" s="143"/>
      <c r="M569" s="143"/>
      <c r="N569" s="143"/>
      <c r="O569" s="143"/>
      <c r="P569" s="143"/>
      <c r="Q569" s="239"/>
    </row>
    <row r="570" spans="1:17" ht="15" outlineLevel="1">
      <c r="A570" s="15" t="s">
        <v>425</v>
      </c>
      <c r="B570" s="86" t="s">
        <v>1</v>
      </c>
      <c r="C570" s="90">
        <f t="shared" si="269"/>
        <v>0</v>
      </c>
      <c r="D570" s="40"/>
      <c r="E570" s="40"/>
      <c r="F570" s="143"/>
      <c r="G570" s="122"/>
      <c r="H570" s="204"/>
      <c r="I570" s="123"/>
      <c r="J570" s="108"/>
      <c r="K570" s="200"/>
      <c r="L570" s="143"/>
      <c r="M570" s="143"/>
      <c r="N570" s="143"/>
      <c r="O570" s="143"/>
      <c r="P570" s="143"/>
      <c r="Q570" s="239"/>
    </row>
    <row r="571" spans="1:17" ht="15" outlineLevel="1">
      <c r="A571" s="15" t="s">
        <v>426</v>
      </c>
      <c r="B571" s="86" t="s">
        <v>2</v>
      </c>
      <c r="C571" s="90">
        <f t="shared" si="269"/>
        <v>0</v>
      </c>
      <c r="D571" s="40"/>
      <c r="E571" s="40"/>
      <c r="F571" s="143"/>
      <c r="G571" s="122"/>
      <c r="H571" s="203"/>
      <c r="I571" s="123"/>
      <c r="J571" s="108"/>
      <c r="K571" s="200"/>
      <c r="L571" s="143"/>
      <c r="M571" s="143"/>
      <c r="N571" s="143"/>
      <c r="O571" s="143"/>
      <c r="P571" s="143"/>
      <c r="Q571" s="239"/>
    </row>
    <row r="572" spans="1:17" ht="15" outlineLevel="1">
      <c r="A572" s="15" t="s">
        <v>427</v>
      </c>
      <c r="B572" s="86" t="s">
        <v>4</v>
      </c>
      <c r="C572" s="90">
        <f t="shared" si="269"/>
        <v>0</v>
      </c>
      <c r="D572" s="40"/>
      <c r="E572" s="40"/>
      <c r="F572" s="143"/>
      <c r="G572" s="122"/>
      <c r="H572" s="203"/>
      <c r="I572" s="123"/>
      <c r="J572" s="108"/>
      <c r="K572" s="226"/>
      <c r="L572" s="202"/>
      <c r="M572" s="202"/>
      <c r="N572" s="202"/>
      <c r="O572" s="202"/>
      <c r="P572" s="202"/>
      <c r="Q572" s="239"/>
    </row>
    <row r="573" spans="1:17" ht="15" outlineLevel="1">
      <c r="A573" s="12">
        <v>439</v>
      </c>
      <c r="B573" s="293" t="s">
        <v>301</v>
      </c>
      <c r="C573" s="294"/>
      <c r="D573" s="294"/>
      <c r="E573" s="294"/>
      <c r="F573" s="294"/>
      <c r="G573" s="294"/>
      <c r="H573" s="294"/>
      <c r="I573" s="294"/>
      <c r="J573" s="294"/>
      <c r="K573" s="294"/>
      <c r="L573" s="294"/>
      <c r="M573" s="294"/>
      <c r="N573" s="294"/>
      <c r="O573" s="294"/>
      <c r="P573" s="294"/>
      <c r="Q573" s="295"/>
    </row>
    <row r="574" spans="1:17" ht="15" outlineLevel="1">
      <c r="A574" s="12">
        <v>440</v>
      </c>
      <c r="B574" s="86" t="s">
        <v>302</v>
      </c>
      <c r="C574" s="90">
        <f t="shared" si="269"/>
        <v>0</v>
      </c>
      <c r="D574" s="90">
        <f aca="true" t="shared" si="272" ref="D574:K574">SUM(D575:D578)</f>
        <v>0</v>
      </c>
      <c r="E574" s="90">
        <f t="shared" si="272"/>
        <v>0</v>
      </c>
      <c r="F574" s="90">
        <f t="shared" si="272"/>
        <v>0</v>
      </c>
      <c r="G574" s="90">
        <f t="shared" si="272"/>
        <v>0</v>
      </c>
      <c r="H574" s="91">
        <f t="shared" si="272"/>
        <v>0</v>
      </c>
      <c r="I574" s="91">
        <f t="shared" si="272"/>
        <v>0</v>
      </c>
      <c r="J574" s="90">
        <f t="shared" si="272"/>
        <v>0</v>
      </c>
      <c r="K574" s="90">
        <f t="shared" si="272"/>
        <v>0</v>
      </c>
      <c r="L574" s="90">
        <f>SUM(L575:L578)</f>
        <v>0</v>
      </c>
      <c r="M574" s="90">
        <f>SUM(M575:M578)</f>
        <v>0</v>
      </c>
      <c r="N574" s="90">
        <f>SUM(N575:N578)</f>
        <v>0</v>
      </c>
      <c r="O574" s="90">
        <f>SUM(O575:O578)</f>
        <v>0</v>
      </c>
      <c r="P574" s="90">
        <f>SUM(P575:P578)</f>
        <v>0</v>
      </c>
      <c r="Q574" s="87"/>
    </row>
    <row r="575" spans="1:17" ht="15" outlineLevel="1">
      <c r="A575" s="12">
        <v>441</v>
      </c>
      <c r="B575" s="86" t="s">
        <v>3</v>
      </c>
      <c r="C575" s="90">
        <f t="shared" si="269"/>
        <v>0</v>
      </c>
      <c r="D575" s="108">
        <f aca="true" t="shared" si="273" ref="D575:K575">SUM(D581,)</f>
        <v>0</v>
      </c>
      <c r="E575" s="108">
        <f t="shared" si="273"/>
        <v>0</v>
      </c>
      <c r="F575" s="108">
        <f t="shared" si="273"/>
        <v>0</v>
      </c>
      <c r="G575" s="108">
        <f t="shared" si="273"/>
        <v>0</v>
      </c>
      <c r="H575" s="123">
        <f t="shared" si="273"/>
        <v>0</v>
      </c>
      <c r="I575" s="123">
        <f t="shared" si="273"/>
        <v>0</v>
      </c>
      <c r="J575" s="108">
        <f t="shared" si="273"/>
        <v>0</v>
      </c>
      <c r="K575" s="108">
        <f t="shared" si="273"/>
        <v>0</v>
      </c>
      <c r="L575" s="108">
        <f aca="true" t="shared" si="274" ref="L575:M578">SUM(L581,)</f>
        <v>0</v>
      </c>
      <c r="M575" s="108">
        <f t="shared" si="274"/>
        <v>0</v>
      </c>
      <c r="N575" s="108">
        <f aca="true" t="shared" si="275" ref="N575:P578">SUM(N581,)</f>
        <v>0</v>
      </c>
      <c r="O575" s="108">
        <f t="shared" si="275"/>
        <v>0</v>
      </c>
      <c r="P575" s="108">
        <f t="shared" si="275"/>
        <v>0</v>
      </c>
      <c r="Q575" s="87"/>
    </row>
    <row r="576" spans="1:17" ht="15">
      <c r="A576" s="12">
        <v>442</v>
      </c>
      <c r="B576" s="86" t="s">
        <v>1</v>
      </c>
      <c r="C576" s="90">
        <f t="shared" si="269"/>
        <v>0</v>
      </c>
      <c r="D576" s="108">
        <f aca="true" t="shared" si="276" ref="D576:K576">SUM(D582,)</f>
        <v>0</v>
      </c>
      <c r="E576" s="108">
        <f t="shared" si="276"/>
        <v>0</v>
      </c>
      <c r="F576" s="108">
        <f t="shared" si="276"/>
        <v>0</v>
      </c>
      <c r="G576" s="108">
        <f t="shared" si="276"/>
        <v>0</v>
      </c>
      <c r="H576" s="123">
        <f t="shared" si="276"/>
        <v>0</v>
      </c>
      <c r="I576" s="123">
        <f t="shared" si="276"/>
        <v>0</v>
      </c>
      <c r="J576" s="108">
        <f t="shared" si="276"/>
        <v>0</v>
      </c>
      <c r="K576" s="108">
        <f t="shared" si="276"/>
        <v>0</v>
      </c>
      <c r="L576" s="108">
        <f t="shared" si="274"/>
        <v>0</v>
      </c>
      <c r="M576" s="108">
        <f t="shared" si="274"/>
        <v>0</v>
      </c>
      <c r="N576" s="108">
        <f t="shared" si="275"/>
        <v>0</v>
      </c>
      <c r="O576" s="108">
        <f t="shared" si="275"/>
        <v>0</v>
      </c>
      <c r="P576" s="108">
        <f t="shared" si="275"/>
        <v>0</v>
      </c>
      <c r="Q576" s="87"/>
    </row>
    <row r="577" spans="1:17" ht="15">
      <c r="A577" s="12">
        <v>443</v>
      </c>
      <c r="B577" s="86" t="s">
        <v>2</v>
      </c>
      <c r="C577" s="90">
        <f t="shared" si="269"/>
        <v>0</v>
      </c>
      <c r="D577" s="108">
        <f aca="true" t="shared" si="277" ref="D577:K578">SUM(D583,)</f>
        <v>0</v>
      </c>
      <c r="E577" s="108">
        <f t="shared" si="277"/>
        <v>0</v>
      </c>
      <c r="F577" s="108">
        <f t="shared" si="277"/>
        <v>0</v>
      </c>
      <c r="G577" s="108">
        <f t="shared" si="277"/>
        <v>0</v>
      </c>
      <c r="H577" s="123">
        <f t="shared" si="277"/>
        <v>0</v>
      </c>
      <c r="I577" s="123">
        <f t="shared" si="277"/>
        <v>0</v>
      </c>
      <c r="J577" s="108">
        <f t="shared" si="277"/>
        <v>0</v>
      </c>
      <c r="K577" s="108">
        <f t="shared" si="277"/>
        <v>0</v>
      </c>
      <c r="L577" s="108">
        <f t="shared" si="274"/>
        <v>0</v>
      </c>
      <c r="M577" s="108">
        <f t="shared" si="274"/>
        <v>0</v>
      </c>
      <c r="N577" s="108">
        <f t="shared" si="275"/>
        <v>0</v>
      </c>
      <c r="O577" s="108">
        <f t="shared" si="275"/>
        <v>0</v>
      </c>
      <c r="P577" s="108">
        <f t="shared" si="275"/>
        <v>0</v>
      </c>
      <c r="Q577" s="87"/>
    </row>
    <row r="578" spans="1:17" ht="15">
      <c r="A578" s="12">
        <v>444</v>
      </c>
      <c r="B578" s="88" t="s">
        <v>4</v>
      </c>
      <c r="C578" s="90">
        <f t="shared" si="269"/>
        <v>0</v>
      </c>
      <c r="D578" s="108">
        <f aca="true" t="shared" si="278" ref="D578:K578">SUM(D584,)</f>
        <v>0</v>
      </c>
      <c r="E578" s="108">
        <f t="shared" si="278"/>
        <v>0</v>
      </c>
      <c r="F578" s="108">
        <f t="shared" si="278"/>
        <v>0</v>
      </c>
      <c r="G578" s="108">
        <f t="shared" si="278"/>
        <v>0</v>
      </c>
      <c r="H578" s="123">
        <f t="shared" si="278"/>
        <v>0</v>
      </c>
      <c r="I578" s="123">
        <f t="shared" si="277"/>
        <v>0</v>
      </c>
      <c r="J578" s="108">
        <f t="shared" si="278"/>
        <v>0</v>
      </c>
      <c r="K578" s="108">
        <f t="shared" si="278"/>
        <v>0</v>
      </c>
      <c r="L578" s="108">
        <f t="shared" si="274"/>
        <v>0</v>
      </c>
      <c r="M578" s="108">
        <f t="shared" si="274"/>
        <v>0</v>
      </c>
      <c r="N578" s="108">
        <f t="shared" si="275"/>
        <v>0</v>
      </c>
      <c r="O578" s="108">
        <f t="shared" si="275"/>
        <v>0</v>
      </c>
      <c r="P578" s="108">
        <f t="shared" si="275"/>
        <v>0</v>
      </c>
      <c r="Q578" s="89"/>
    </row>
    <row r="579" spans="1:17" ht="15">
      <c r="A579" s="12">
        <v>445</v>
      </c>
      <c r="B579" s="296" t="s">
        <v>138</v>
      </c>
      <c r="C579" s="297"/>
      <c r="D579" s="297"/>
      <c r="E579" s="297"/>
      <c r="F579" s="297"/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8"/>
    </row>
    <row r="580" spans="1:17" ht="30.75">
      <c r="A580" s="12">
        <v>446</v>
      </c>
      <c r="B580" s="86" t="s">
        <v>69</v>
      </c>
      <c r="C580" s="90">
        <f t="shared" si="269"/>
        <v>0</v>
      </c>
      <c r="D580" s="147">
        <f aca="true" t="shared" si="279" ref="D580:K580">SUM(D581:D584)</f>
        <v>0</v>
      </c>
      <c r="E580" s="147">
        <f t="shared" si="279"/>
        <v>0</v>
      </c>
      <c r="F580" s="147">
        <f t="shared" si="279"/>
        <v>0</v>
      </c>
      <c r="G580" s="147">
        <f t="shared" si="279"/>
        <v>0</v>
      </c>
      <c r="H580" s="211">
        <f t="shared" si="279"/>
        <v>0</v>
      </c>
      <c r="I580" s="211">
        <f t="shared" si="279"/>
        <v>0</v>
      </c>
      <c r="J580" s="147">
        <f t="shared" si="279"/>
        <v>0</v>
      </c>
      <c r="K580" s="147">
        <f t="shared" si="279"/>
        <v>0</v>
      </c>
      <c r="L580" s="147">
        <f>SUM(L581:L584)</f>
        <v>0</v>
      </c>
      <c r="M580" s="147">
        <f>SUM(M581:M584)</f>
        <v>0</v>
      </c>
      <c r="N580" s="147">
        <f>SUM(N581:N584)</f>
        <v>0</v>
      </c>
      <c r="O580" s="147">
        <f>SUM(O581:O584)</f>
        <v>0</v>
      </c>
      <c r="P580" s="147">
        <f>SUM(P581:P584)</f>
        <v>0</v>
      </c>
      <c r="Q580" s="86"/>
    </row>
    <row r="581" spans="1:17" ht="15">
      <c r="A581" s="12">
        <v>447</v>
      </c>
      <c r="B581" s="86" t="s">
        <v>3</v>
      </c>
      <c r="C581" s="90">
        <f t="shared" si="269"/>
        <v>0</v>
      </c>
      <c r="D581" s="108">
        <f aca="true" t="shared" si="280" ref="D581:K581">D586+D591+D596</f>
        <v>0</v>
      </c>
      <c r="E581" s="108">
        <f t="shared" si="280"/>
        <v>0</v>
      </c>
      <c r="F581" s="108">
        <f t="shared" si="280"/>
        <v>0</v>
      </c>
      <c r="G581" s="108">
        <f t="shared" si="280"/>
        <v>0</v>
      </c>
      <c r="H581" s="123">
        <f t="shared" si="280"/>
        <v>0</v>
      </c>
      <c r="I581" s="123">
        <f t="shared" si="280"/>
        <v>0</v>
      </c>
      <c r="J581" s="108">
        <f t="shared" si="280"/>
        <v>0</v>
      </c>
      <c r="K581" s="108">
        <f t="shared" si="280"/>
        <v>0</v>
      </c>
      <c r="L581" s="108">
        <f aca="true" t="shared" si="281" ref="L581:M584">L586+L591+L596</f>
        <v>0</v>
      </c>
      <c r="M581" s="108">
        <f t="shared" si="281"/>
        <v>0</v>
      </c>
      <c r="N581" s="108">
        <f aca="true" t="shared" si="282" ref="N581:P584">N586+N591+N596</f>
        <v>0</v>
      </c>
      <c r="O581" s="108">
        <f t="shared" si="282"/>
        <v>0</v>
      </c>
      <c r="P581" s="108">
        <f t="shared" si="282"/>
        <v>0</v>
      </c>
      <c r="Q581" s="87"/>
    </row>
    <row r="582" spans="1:17" ht="15">
      <c r="A582" s="12">
        <v>448</v>
      </c>
      <c r="B582" s="86" t="s">
        <v>1</v>
      </c>
      <c r="C582" s="90">
        <f t="shared" si="269"/>
        <v>0</v>
      </c>
      <c r="D582" s="108">
        <f aca="true" t="shared" si="283" ref="D582:K582">D587+D592+D597</f>
        <v>0</v>
      </c>
      <c r="E582" s="108">
        <f t="shared" si="283"/>
        <v>0</v>
      </c>
      <c r="F582" s="108">
        <f t="shared" si="283"/>
        <v>0</v>
      </c>
      <c r="G582" s="108">
        <f t="shared" si="283"/>
        <v>0</v>
      </c>
      <c r="H582" s="123">
        <f t="shared" si="283"/>
        <v>0</v>
      </c>
      <c r="I582" s="123">
        <f t="shared" si="283"/>
        <v>0</v>
      </c>
      <c r="J582" s="108">
        <f t="shared" si="283"/>
        <v>0</v>
      </c>
      <c r="K582" s="108">
        <f t="shared" si="283"/>
        <v>0</v>
      </c>
      <c r="L582" s="108">
        <f t="shared" si="281"/>
        <v>0</v>
      </c>
      <c r="M582" s="108">
        <f t="shared" si="281"/>
        <v>0</v>
      </c>
      <c r="N582" s="108">
        <f t="shared" si="282"/>
        <v>0</v>
      </c>
      <c r="O582" s="108">
        <f t="shared" si="282"/>
        <v>0</v>
      </c>
      <c r="P582" s="108">
        <f t="shared" si="282"/>
        <v>0</v>
      </c>
      <c r="Q582" s="87"/>
    </row>
    <row r="583" spans="1:17" ht="15">
      <c r="A583" s="12">
        <v>449</v>
      </c>
      <c r="B583" s="86" t="s">
        <v>2</v>
      </c>
      <c r="C583" s="90">
        <f t="shared" si="269"/>
        <v>0</v>
      </c>
      <c r="D583" s="108">
        <f aca="true" t="shared" si="284" ref="D583:K583">D588+D593+D598</f>
        <v>0</v>
      </c>
      <c r="E583" s="108">
        <f t="shared" si="284"/>
        <v>0</v>
      </c>
      <c r="F583" s="108">
        <f t="shared" si="284"/>
        <v>0</v>
      </c>
      <c r="G583" s="108">
        <f t="shared" si="284"/>
        <v>0</v>
      </c>
      <c r="H583" s="123">
        <f t="shared" si="284"/>
        <v>0</v>
      </c>
      <c r="I583" s="123">
        <f t="shared" si="284"/>
        <v>0</v>
      </c>
      <c r="J583" s="108">
        <f t="shared" si="284"/>
        <v>0</v>
      </c>
      <c r="K583" s="108">
        <f t="shared" si="284"/>
        <v>0</v>
      </c>
      <c r="L583" s="108">
        <f t="shared" si="281"/>
        <v>0</v>
      </c>
      <c r="M583" s="108">
        <f t="shared" si="281"/>
        <v>0</v>
      </c>
      <c r="N583" s="108">
        <f t="shared" si="282"/>
        <v>0</v>
      </c>
      <c r="O583" s="108">
        <f t="shared" si="282"/>
        <v>0</v>
      </c>
      <c r="P583" s="108">
        <f t="shared" si="282"/>
        <v>0</v>
      </c>
      <c r="Q583" s="87"/>
    </row>
    <row r="584" spans="1:17" ht="15">
      <c r="A584" s="12">
        <v>450</v>
      </c>
      <c r="B584" s="88" t="s">
        <v>4</v>
      </c>
      <c r="C584" s="90">
        <f t="shared" si="269"/>
        <v>0</v>
      </c>
      <c r="D584" s="108">
        <f aca="true" t="shared" si="285" ref="D584:K584">D589+D594+D599</f>
        <v>0</v>
      </c>
      <c r="E584" s="108">
        <f t="shared" si="285"/>
        <v>0</v>
      </c>
      <c r="F584" s="108">
        <f t="shared" si="285"/>
        <v>0</v>
      </c>
      <c r="G584" s="108">
        <f t="shared" si="285"/>
        <v>0</v>
      </c>
      <c r="H584" s="123">
        <f t="shared" si="285"/>
        <v>0</v>
      </c>
      <c r="I584" s="123">
        <f t="shared" si="285"/>
        <v>0</v>
      </c>
      <c r="J584" s="108">
        <f t="shared" si="285"/>
        <v>0</v>
      </c>
      <c r="K584" s="108">
        <f t="shared" si="285"/>
        <v>0</v>
      </c>
      <c r="L584" s="108">
        <f t="shared" si="281"/>
        <v>0</v>
      </c>
      <c r="M584" s="108">
        <f t="shared" si="281"/>
        <v>0</v>
      </c>
      <c r="N584" s="108">
        <f t="shared" si="282"/>
        <v>0</v>
      </c>
      <c r="O584" s="108">
        <f t="shared" si="282"/>
        <v>0</v>
      </c>
      <c r="P584" s="108">
        <f t="shared" si="282"/>
        <v>0</v>
      </c>
      <c r="Q584" s="89"/>
    </row>
    <row r="585" spans="1:17" ht="62.25">
      <c r="A585" s="12">
        <v>451</v>
      </c>
      <c r="B585" s="86" t="s">
        <v>303</v>
      </c>
      <c r="C585" s="90">
        <f t="shared" si="269"/>
        <v>0</v>
      </c>
      <c r="D585" s="27">
        <f aca="true" t="shared" si="286" ref="D585:K585">SUM(D586:D589)</f>
        <v>0</v>
      </c>
      <c r="E585" s="27">
        <f t="shared" si="286"/>
        <v>0</v>
      </c>
      <c r="F585" s="154">
        <f t="shared" si="286"/>
        <v>0</v>
      </c>
      <c r="G585" s="27">
        <f>SUM(G586:G589)</f>
        <v>0</v>
      </c>
      <c r="H585" s="67">
        <f>SUM(H586:H589)</f>
        <v>0</v>
      </c>
      <c r="I585" s="67">
        <f>SUM(I586:I589)</f>
        <v>0</v>
      </c>
      <c r="J585" s="154">
        <f t="shared" si="286"/>
        <v>0</v>
      </c>
      <c r="K585" s="154">
        <f t="shared" si="286"/>
        <v>0</v>
      </c>
      <c r="L585" s="154"/>
      <c r="M585" s="154"/>
      <c r="N585" s="154"/>
      <c r="O585" s="154"/>
      <c r="P585" s="154"/>
      <c r="Q585" s="94">
        <v>73</v>
      </c>
    </row>
    <row r="586" spans="1:17" ht="15">
      <c r="A586" s="12">
        <v>452</v>
      </c>
      <c r="B586" s="86" t="s">
        <v>3</v>
      </c>
      <c r="C586" s="90">
        <f t="shared" si="269"/>
        <v>0</v>
      </c>
      <c r="D586" s="40"/>
      <c r="E586" s="40"/>
      <c r="F586" s="143"/>
      <c r="G586" s="40"/>
      <c r="H586" s="212"/>
      <c r="I586" s="199">
        <f>3213.334-3213.334</f>
        <v>0</v>
      </c>
      <c r="J586" s="143"/>
      <c r="K586" s="143"/>
      <c r="L586" s="143"/>
      <c r="M586" s="143"/>
      <c r="N586" s="143"/>
      <c r="O586" s="143"/>
      <c r="P586" s="143"/>
      <c r="Q586" s="87"/>
    </row>
    <row r="587" spans="1:17" ht="15">
      <c r="A587" s="12">
        <v>453</v>
      </c>
      <c r="B587" s="86" t="s">
        <v>1</v>
      </c>
      <c r="C587" s="90">
        <f t="shared" si="269"/>
        <v>0</v>
      </c>
      <c r="D587" s="40"/>
      <c r="E587" s="40"/>
      <c r="F587" s="143"/>
      <c r="G587" s="40"/>
      <c r="H587" s="212"/>
      <c r="I587" s="212"/>
      <c r="J587" s="201"/>
      <c r="K587" s="201"/>
      <c r="L587" s="201"/>
      <c r="M587" s="201"/>
      <c r="N587" s="201"/>
      <c r="O587" s="201"/>
      <c r="P587" s="201"/>
      <c r="Q587" s="87"/>
    </row>
    <row r="588" spans="1:17" ht="15">
      <c r="A588" s="12">
        <v>454</v>
      </c>
      <c r="B588" s="86" t="s">
        <v>2</v>
      </c>
      <c r="C588" s="90">
        <f t="shared" si="269"/>
        <v>0</v>
      </c>
      <c r="D588" s="40"/>
      <c r="E588" s="40"/>
      <c r="F588" s="162"/>
      <c r="G588" s="40"/>
      <c r="H588" s="212"/>
      <c r="I588" s="212"/>
      <c r="J588" s="143"/>
      <c r="K588" s="143"/>
      <c r="L588" s="143"/>
      <c r="M588" s="143"/>
      <c r="N588" s="143"/>
      <c r="O588" s="143"/>
      <c r="P588" s="143"/>
      <c r="Q588" s="87"/>
    </row>
    <row r="589" spans="1:17" ht="15">
      <c r="A589" s="12">
        <v>455</v>
      </c>
      <c r="B589" s="86" t="s">
        <v>4</v>
      </c>
      <c r="C589" s="90">
        <f t="shared" si="269"/>
        <v>0</v>
      </c>
      <c r="D589" s="40"/>
      <c r="E589" s="40"/>
      <c r="F589" s="143"/>
      <c r="G589" s="40"/>
      <c r="H589" s="199"/>
      <c r="I589" s="199"/>
      <c r="J589" s="143"/>
      <c r="K589" s="143"/>
      <c r="L589" s="143"/>
      <c r="M589" s="143"/>
      <c r="N589" s="143"/>
      <c r="O589" s="143"/>
      <c r="P589" s="143"/>
      <c r="Q589" s="87"/>
    </row>
  </sheetData>
  <sheetProtection/>
  <mergeCells count="41">
    <mergeCell ref="B510:Q510"/>
    <mergeCell ref="B517:Q517"/>
    <mergeCell ref="B488:Q488"/>
    <mergeCell ref="B378:Q378"/>
    <mergeCell ref="B435:Q435"/>
    <mergeCell ref="B466:Q466"/>
    <mergeCell ref="B472:Q472"/>
    <mergeCell ref="B17:Q17"/>
    <mergeCell ref="B23:Q23"/>
    <mergeCell ref="B30:Q30"/>
    <mergeCell ref="B129:Q129"/>
    <mergeCell ref="B108:Q108"/>
    <mergeCell ref="B135:Q135"/>
    <mergeCell ref="B36:Q36"/>
    <mergeCell ref="B52:Q52"/>
    <mergeCell ref="B58:Q58"/>
    <mergeCell ref="B69:Q69"/>
    <mergeCell ref="A4:Q4"/>
    <mergeCell ref="A5:Q5"/>
    <mergeCell ref="A6:Q6"/>
    <mergeCell ref="Q8:Q9"/>
    <mergeCell ref="F1:Q3"/>
    <mergeCell ref="A8:A9"/>
    <mergeCell ref="B8:B9"/>
    <mergeCell ref="C8:M8"/>
    <mergeCell ref="B80:Q80"/>
    <mergeCell ref="B86:Q86"/>
    <mergeCell ref="B102:Q102"/>
    <mergeCell ref="B171:Q171"/>
    <mergeCell ref="B293:Q293"/>
    <mergeCell ref="B287:Q287"/>
    <mergeCell ref="B372:Q372"/>
    <mergeCell ref="B573:Q573"/>
    <mergeCell ref="B579:Q579"/>
    <mergeCell ref="B344:Q344"/>
    <mergeCell ref="B350:Q350"/>
    <mergeCell ref="B356:Q356"/>
    <mergeCell ref="B429:Q429"/>
    <mergeCell ref="B494:Q494"/>
    <mergeCell ref="B546:Q546"/>
    <mergeCell ref="B552:Q552"/>
  </mergeCells>
  <printOptions/>
  <pageMargins left="0.3937007874015748" right="0.1968503937007874" top="0.3937007874015748" bottom="0.1968503937007874" header="0.31496062992125984" footer="0.1968503937007874"/>
  <pageSetup cellComments="atEnd"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tabSelected="1" zoomScale="80" zoomScaleNormal="80" zoomScalePageLayoutView="0" workbookViewId="0" topLeftCell="A1">
      <selection activeCell="H2" sqref="H2:O2"/>
    </sheetView>
  </sheetViews>
  <sheetFormatPr defaultColWidth="9.140625" defaultRowHeight="15"/>
  <cols>
    <col min="1" max="1" width="6.8515625" style="0" customWidth="1"/>
    <col min="2" max="2" width="28.421875" style="0" customWidth="1"/>
    <col min="3" max="3" width="15.140625" style="0" customWidth="1"/>
    <col min="4" max="4" width="12.140625" style="0" customWidth="1"/>
    <col min="5" max="5" width="13.00390625" style="0" customWidth="1"/>
    <col min="6" max="7" width="11.28125" style="0" customWidth="1"/>
    <col min="8" max="8" width="11.7109375" style="0" customWidth="1"/>
    <col min="9" max="9" width="11.421875" style="0" bestFit="1" customWidth="1"/>
    <col min="10" max="10" width="10.57421875" style="0" customWidth="1"/>
    <col min="11" max="11" width="10.421875" style="0" bestFit="1" customWidth="1"/>
    <col min="12" max="12" width="10.421875" style="3" bestFit="1" customWidth="1"/>
    <col min="13" max="13" width="10.28125" style="0" bestFit="1" customWidth="1"/>
    <col min="14" max="14" width="11.421875" style="0" bestFit="1" customWidth="1"/>
    <col min="15" max="15" width="10.8515625" style="0" customWidth="1"/>
    <col min="16" max="16" width="12.140625" style="0" customWidth="1"/>
    <col min="17" max="17" width="12.421875" style="0" customWidth="1"/>
    <col min="18" max="18" width="10.421875" style="0" customWidth="1"/>
    <col min="19" max="22" width="9.57421875" style="0" bestFit="1" customWidth="1"/>
  </cols>
  <sheetData>
    <row r="1" spans="1:17" s="6" customFormat="1" ht="12" customHeight="1">
      <c r="A1" s="166"/>
      <c r="B1" s="166"/>
      <c r="C1" s="166"/>
      <c r="D1" s="166"/>
      <c r="E1" s="166"/>
      <c r="F1" s="166"/>
      <c r="G1" s="166"/>
      <c r="H1" s="331" t="s">
        <v>447</v>
      </c>
      <c r="I1" s="331"/>
      <c r="J1" s="331"/>
      <c r="K1" s="331"/>
      <c r="L1" s="331"/>
      <c r="M1" s="331"/>
      <c r="N1" s="331"/>
      <c r="O1" s="331"/>
      <c r="P1" s="332"/>
      <c r="Q1" s="332"/>
    </row>
    <row r="2" spans="1:15" s="6" customFormat="1" ht="12" customHeight="1">
      <c r="A2" s="166"/>
      <c r="B2" s="166"/>
      <c r="C2" s="166"/>
      <c r="D2" s="166"/>
      <c r="E2" s="166"/>
      <c r="F2" s="166"/>
      <c r="G2" s="166"/>
      <c r="H2" s="329"/>
      <c r="I2" s="329"/>
      <c r="J2" s="329"/>
      <c r="K2" s="329"/>
      <c r="L2" s="329"/>
      <c r="M2" s="329"/>
      <c r="N2" s="329"/>
      <c r="O2" s="329"/>
    </row>
    <row r="3" spans="1:15" s="6" customFormat="1" ht="12" customHeight="1">
      <c r="A3" s="166"/>
      <c r="B3" s="166"/>
      <c r="C3" s="166"/>
      <c r="D3" s="166"/>
      <c r="E3" s="166"/>
      <c r="F3" s="166"/>
      <c r="G3" s="166"/>
      <c r="H3" s="329"/>
      <c r="I3" s="329"/>
      <c r="J3" s="329"/>
      <c r="K3" s="329"/>
      <c r="L3" s="329"/>
      <c r="M3" s="329"/>
      <c r="N3" s="329"/>
      <c r="O3" s="329"/>
    </row>
    <row r="4" spans="1:15" s="6" customFormat="1" ht="12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330"/>
      <c r="M4" s="330"/>
      <c r="N4" s="330"/>
      <c r="O4" s="330"/>
    </row>
    <row r="5" spans="1:15" ht="17.25">
      <c r="A5" s="323" t="s">
        <v>231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</row>
    <row r="6" spans="1:15" ht="17.25">
      <c r="A6" s="323" t="s">
        <v>232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5" ht="17.25">
      <c r="A7" s="323" t="s">
        <v>444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</row>
    <row r="8" ht="17.25">
      <c r="A8" s="167"/>
    </row>
    <row r="9" spans="1:22" s="169" customFormat="1" ht="52.5" customHeight="1">
      <c r="A9" s="324" t="s">
        <v>233</v>
      </c>
      <c r="B9" s="325" t="s">
        <v>234</v>
      </c>
      <c r="C9" s="325" t="s">
        <v>235</v>
      </c>
      <c r="D9" s="325" t="s">
        <v>236</v>
      </c>
      <c r="E9" s="325" t="s">
        <v>237</v>
      </c>
      <c r="F9" s="325"/>
      <c r="G9" s="325" t="s">
        <v>238</v>
      </c>
      <c r="H9" s="325"/>
      <c r="I9" s="326" t="s">
        <v>239</v>
      </c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8"/>
    </row>
    <row r="10" spans="1:22" s="169" customFormat="1" ht="71.25" customHeight="1">
      <c r="A10" s="324"/>
      <c r="B10" s="325"/>
      <c r="C10" s="325"/>
      <c r="D10" s="325"/>
      <c r="E10" s="168" t="s">
        <v>240</v>
      </c>
      <c r="F10" s="168" t="s">
        <v>241</v>
      </c>
      <c r="G10" s="168" t="s">
        <v>242</v>
      </c>
      <c r="H10" s="168" t="s">
        <v>243</v>
      </c>
      <c r="I10" s="170" t="s">
        <v>0</v>
      </c>
      <c r="J10" s="170">
        <v>2015</v>
      </c>
      <c r="K10" s="170">
        <v>2016</v>
      </c>
      <c r="L10" s="178">
        <v>2017</v>
      </c>
      <c r="M10" s="168">
        <v>2018</v>
      </c>
      <c r="N10" s="168">
        <v>2019</v>
      </c>
      <c r="O10" s="168">
        <v>2020</v>
      </c>
      <c r="P10" s="168">
        <v>2021</v>
      </c>
      <c r="Q10" s="168">
        <v>2022</v>
      </c>
      <c r="R10" s="168">
        <v>2023</v>
      </c>
      <c r="S10" s="168">
        <v>2024</v>
      </c>
      <c r="T10" s="168">
        <v>2025</v>
      </c>
      <c r="U10" s="168">
        <v>2026</v>
      </c>
      <c r="V10" s="168">
        <v>2027</v>
      </c>
    </row>
    <row r="11" spans="1:22" s="169" customFormat="1" ht="11.25">
      <c r="A11" s="168">
        <v>1</v>
      </c>
      <c r="B11" s="168">
        <v>2</v>
      </c>
      <c r="C11" s="168">
        <v>3</v>
      </c>
      <c r="D11" s="168">
        <v>4</v>
      </c>
      <c r="E11" s="168">
        <v>5</v>
      </c>
      <c r="F11" s="168">
        <v>6</v>
      </c>
      <c r="G11" s="168">
        <v>7</v>
      </c>
      <c r="H11" s="168">
        <v>8</v>
      </c>
      <c r="I11" s="170">
        <v>9</v>
      </c>
      <c r="J11" s="170">
        <v>10</v>
      </c>
      <c r="K11" s="170">
        <v>11</v>
      </c>
      <c r="L11" s="178">
        <v>12</v>
      </c>
      <c r="M11" s="168">
        <v>13</v>
      </c>
      <c r="N11" s="168">
        <v>14</v>
      </c>
      <c r="O11" s="168">
        <v>15</v>
      </c>
      <c r="P11" s="168">
        <v>16</v>
      </c>
      <c r="Q11" s="168">
        <v>17</v>
      </c>
      <c r="R11" s="168">
        <v>18</v>
      </c>
      <c r="S11" s="168">
        <v>19</v>
      </c>
      <c r="T11" s="168">
        <v>20</v>
      </c>
      <c r="U11" s="168">
        <v>21</v>
      </c>
      <c r="V11" s="168">
        <v>22</v>
      </c>
    </row>
    <row r="12" spans="1:22" s="169" customFormat="1" ht="78">
      <c r="A12" s="11">
        <v>1</v>
      </c>
      <c r="B12" s="1" t="s">
        <v>277</v>
      </c>
      <c r="C12" s="171" t="s">
        <v>244</v>
      </c>
      <c r="D12" s="171" t="s">
        <v>245</v>
      </c>
      <c r="E12" s="179">
        <v>224902</v>
      </c>
      <c r="F12" s="174">
        <v>341490.55</v>
      </c>
      <c r="G12" s="172">
        <v>2022</v>
      </c>
      <c r="H12" s="172">
        <v>2024</v>
      </c>
      <c r="I12" s="174">
        <f>I13</f>
        <v>344975.55</v>
      </c>
      <c r="J12" s="174">
        <f aca="true" t="shared" si="0" ref="J12:V12">J13</f>
        <v>3435</v>
      </c>
      <c r="K12" s="174">
        <f t="shared" si="0"/>
        <v>0</v>
      </c>
      <c r="L12" s="179">
        <f>L13</f>
        <v>0</v>
      </c>
      <c r="M12" s="174">
        <f t="shared" si="0"/>
        <v>0</v>
      </c>
      <c r="N12" s="174">
        <f t="shared" si="0"/>
        <v>25</v>
      </c>
      <c r="O12" s="174">
        <f t="shared" si="0"/>
        <v>25</v>
      </c>
      <c r="P12" s="174">
        <f t="shared" si="0"/>
        <v>0</v>
      </c>
      <c r="Q12" s="174">
        <f t="shared" si="0"/>
        <v>105073.23</v>
      </c>
      <c r="R12" s="174">
        <f t="shared" si="0"/>
        <v>157611.55</v>
      </c>
      <c r="S12" s="174">
        <f t="shared" si="0"/>
        <v>78805.77</v>
      </c>
      <c r="T12" s="174">
        <f t="shared" si="0"/>
        <v>0</v>
      </c>
      <c r="U12" s="174">
        <f t="shared" si="0"/>
        <v>0</v>
      </c>
      <c r="V12" s="174">
        <f t="shared" si="0"/>
        <v>0</v>
      </c>
    </row>
    <row r="13" spans="1:22" s="169" customFormat="1" ht="30.75">
      <c r="A13" s="11">
        <v>2</v>
      </c>
      <c r="B13" s="1" t="s">
        <v>246</v>
      </c>
      <c r="C13" s="171"/>
      <c r="D13" s="171"/>
      <c r="E13" s="174"/>
      <c r="F13" s="174"/>
      <c r="G13" s="172"/>
      <c r="H13" s="172"/>
      <c r="I13" s="174">
        <f>I14+I15+I16+I17</f>
        <v>344975.55</v>
      </c>
      <c r="J13" s="174">
        <f aca="true" t="shared" si="1" ref="J13:O13">J14+J15+J16+J17</f>
        <v>3435</v>
      </c>
      <c r="K13" s="174">
        <f t="shared" si="1"/>
        <v>0</v>
      </c>
      <c r="L13" s="179">
        <f>L14+L15+L16+L17</f>
        <v>0</v>
      </c>
      <c r="M13" s="174">
        <f>M14+M15+M16+M17</f>
        <v>0</v>
      </c>
      <c r="N13" s="174">
        <f>N14+N15+N16+N17</f>
        <v>25</v>
      </c>
      <c r="O13" s="174">
        <f t="shared" si="1"/>
        <v>25</v>
      </c>
      <c r="P13" s="174">
        <f aca="true" t="shared" si="2" ref="P13:V13">P14+P15+P16+P17</f>
        <v>0</v>
      </c>
      <c r="Q13" s="174">
        <f t="shared" si="2"/>
        <v>105073.23</v>
      </c>
      <c r="R13" s="174">
        <f t="shared" si="2"/>
        <v>157611.55</v>
      </c>
      <c r="S13" s="174">
        <f t="shared" si="2"/>
        <v>78805.77</v>
      </c>
      <c r="T13" s="174">
        <f t="shared" si="2"/>
        <v>0</v>
      </c>
      <c r="U13" s="174">
        <f t="shared" si="2"/>
        <v>0</v>
      </c>
      <c r="V13" s="174">
        <f t="shared" si="2"/>
        <v>0</v>
      </c>
    </row>
    <row r="14" spans="1:22" s="169" customFormat="1" ht="15">
      <c r="A14" s="11">
        <v>3</v>
      </c>
      <c r="B14" s="1" t="s">
        <v>3</v>
      </c>
      <c r="C14" s="171"/>
      <c r="D14" s="171"/>
      <c r="E14" s="174"/>
      <c r="F14" s="174"/>
      <c r="G14" s="172"/>
      <c r="H14" s="172"/>
      <c r="I14" s="174">
        <f>J14+K14+L14+M14+N14+O14+P14+Q14+R14+S14+T14+U14+V14</f>
        <v>3485</v>
      </c>
      <c r="J14" s="174">
        <v>3435</v>
      </c>
      <c r="K14" s="174"/>
      <c r="L14" s="179"/>
      <c r="M14" s="174"/>
      <c r="N14" s="174">
        <v>25</v>
      </c>
      <c r="O14" s="174">
        <v>25</v>
      </c>
      <c r="P14" s="174"/>
      <c r="Q14" s="174"/>
      <c r="R14" s="174"/>
      <c r="S14" s="174"/>
      <c r="T14" s="174"/>
      <c r="U14" s="174"/>
      <c r="V14" s="174"/>
    </row>
    <row r="15" spans="1:22" s="169" customFormat="1" ht="15">
      <c r="A15" s="11">
        <v>4</v>
      </c>
      <c r="B15" s="1" t="s">
        <v>1</v>
      </c>
      <c r="C15" s="171"/>
      <c r="D15" s="171"/>
      <c r="E15" s="174"/>
      <c r="F15" s="174"/>
      <c r="G15" s="172"/>
      <c r="H15" s="172"/>
      <c r="I15" s="174">
        <f>J15+K15+L15+M15+N15+O15+P15+Q15+R15+S15+T15+U15+V15</f>
        <v>0</v>
      </c>
      <c r="J15" s="174"/>
      <c r="K15" s="174"/>
      <c r="L15" s="179"/>
      <c r="M15" s="174"/>
      <c r="N15" s="174"/>
      <c r="O15" s="174"/>
      <c r="P15" s="174"/>
      <c r="Q15" s="174"/>
      <c r="R15" s="174"/>
      <c r="S15" s="174"/>
      <c r="T15" s="174"/>
      <c r="U15" s="174"/>
      <c r="V15" s="174"/>
    </row>
    <row r="16" spans="1:22" s="169" customFormat="1" ht="15">
      <c r="A16" s="11">
        <v>5</v>
      </c>
      <c r="B16" s="1" t="s">
        <v>2</v>
      </c>
      <c r="C16" s="171"/>
      <c r="D16" s="171"/>
      <c r="E16" s="174"/>
      <c r="F16" s="174"/>
      <c r="G16" s="172"/>
      <c r="H16" s="172"/>
      <c r="I16" s="174">
        <f>J16+K16+L16+M16+N16+O16+P16+Q16+R16+S16+T16+U16+V16</f>
        <v>0</v>
      </c>
      <c r="J16" s="174"/>
      <c r="K16" s="174"/>
      <c r="L16" s="179"/>
      <c r="M16" s="174"/>
      <c r="N16" s="174"/>
      <c r="O16" s="174"/>
      <c r="P16" s="174"/>
      <c r="Q16" s="174"/>
      <c r="R16" s="174"/>
      <c r="S16" s="174"/>
      <c r="T16" s="174"/>
      <c r="U16" s="174"/>
      <c r="V16" s="174"/>
    </row>
    <row r="17" spans="1:22" s="169" customFormat="1" ht="15">
      <c r="A17" s="11">
        <v>6</v>
      </c>
      <c r="B17" s="1" t="s">
        <v>4</v>
      </c>
      <c r="C17" s="171"/>
      <c r="D17" s="171"/>
      <c r="E17" s="174"/>
      <c r="F17" s="174"/>
      <c r="G17" s="172"/>
      <c r="H17" s="172"/>
      <c r="I17" s="174">
        <f>J17+K17+L17+M17+N17+O17+P17+Q17+R17+S17+T17+U17+V17</f>
        <v>341490.55</v>
      </c>
      <c r="J17" s="174"/>
      <c r="K17" s="174"/>
      <c r="L17" s="179"/>
      <c r="M17" s="174"/>
      <c r="N17" s="174"/>
      <c r="O17" s="174"/>
      <c r="P17" s="174"/>
      <c r="Q17" s="174">
        <v>105073.23</v>
      </c>
      <c r="R17" s="174">
        <v>157611.55</v>
      </c>
      <c r="S17" s="174">
        <v>78805.77</v>
      </c>
      <c r="T17" s="174"/>
      <c r="U17" s="174"/>
      <c r="V17" s="174"/>
    </row>
    <row r="18" spans="1:22" s="169" customFormat="1" ht="62.25">
      <c r="A18" s="11">
        <v>7</v>
      </c>
      <c r="B18" s="1" t="s">
        <v>352</v>
      </c>
      <c r="C18" s="171"/>
      <c r="D18" s="171" t="s">
        <v>245</v>
      </c>
      <c r="E18" s="174"/>
      <c r="F18" s="174"/>
      <c r="G18" s="172"/>
      <c r="H18" s="172"/>
      <c r="I18" s="174">
        <f>I19</f>
        <v>7461.97855</v>
      </c>
      <c r="J18" s="174">
        <f aca="true" t="shared" si="3" ref="J18:V18">J19</f>
        <v>0</v>
      </c>
      <c r="K18" s="174">
        <f t="shared" si="3"/>
        <v>0</v>
      </c>
      <c r="L18" s="179">
        <f t="shared" si="3"/>
        <v>0</v>
      </c>
      <c r="M18" s="174">
        <f t="shared" si="3"/>
        <v>0</v>
      </c>
      <c r="N18" s="174">
        <f t="shared" si="3"/>
        <v>6262.29</v>
      </c>
      <c r="O18" s="174">
        <f t="shared" si="3"/>
        <v>1199.68855</v>
      </c>
      <c r="P18" s="174">
        <f t="shared" si="3"/>
        <v>0</v>
      </c>
      <c r="Q18" s="174">
        <f t="shared" si="3"/>
        <v>0</v>
      </c>
      <c r="R18" s="174">
        <f t="shared" si="3"/>
        <v>0</v>
      </c>
      <c r="S18" s="174">
        <f t="shared" si="3"/>
        <v>0</v>
      </c>
      <c r="T18" s="174">
        <f t="shared" si="3"/>
        <v>0</v>
      </c>
      <c r="U18" s="174">
        <f t="shared" si="3"/>
        <v>0</v>
      </c>
      <c r="V18" s="174">
        <f t="shared" si="3"/>
        <v>0</v>
      </c>
    </row>
    <row r="19" spans="1:22" s="169" customFormat="1" ht="30.75">
      <c r="A19" s="11">
        <v>8</v>
      </c>
      <c r="B19" s="1" t="s">
        <v>247</v>
      </c>
      <c r="C19" s="171"/>
      <c r="D19" s="171"/>
      <c r="E19" s="174"/>
      <c r="F19" s="174"/>
      <c r="G19" s="172"/>
      <c r="H19" s="172"/>
      <c r="I19" s="174">
        <f>I20+I21+I22+I23</f>
        <v>7461.97855</v>
      </c>
      <c r="J19" s="174">
        <f aca="true" t="shared" si="4" ref="J19:O19">J20+J21+J22+J23</f>
        <v>0</v>
      </c>
      <c r="K19" s="174">
        <f t="shared" si="4"/>
        <v>0</v>
      </c>
      <c r="L19" s="179">
        <f t="shared" si="4"/>
        <v>0</v>
      </c>
      <c r="M19" s="174">
        <f t="shared" si="4"/>
        <v>0</v>
      </c>
      <c r="N19" s="174">
        <f t="shared" si="4"/>
        <v>6262.29</v>
      </c>
      <c r="O19" s="174">
        <f t="shared" si="4"/>
        <v>1199.68855</v>
      </c>
      <c r="P19" s="174">
        <f aca="true" t="shared" si="5" ref="P19:V19">P20+P21+P22+P23</f>
        <v>0</v>
      </c>
      <c r="Q19" s="174">
        <f t="shared" si="5"/>
        <v>0</v>
      </c>
      <c r="R19" s="174">
        <f t="shared" si="5"/>
        <v>0</v>
      </c>
      <c r="S19" s="174">
        <f t="shared" si="5"/>
        <v>0</v>
      </c>
      <c r="T19" s="174">
        <f t="shared" si="5"/>
        <v>0</v>
      </c>
      <c r="U19" s="174">
        <f t="shared" si="5"/>
        <v>0</v>
      </c>
      <c r="V19" s="174">
        <f t="shared" si="5"/>
        <v>0</v>
      </c>
    </row>
    <row r="20" spans="1:22" s="169" customFormat="1" ht="15">
      <c r="A20" s="11">
        <v>9</v>
      </c>
      <c r="B20" s="1" t="s">
        <v>3</v>
      </c>
      <c r="C20" s="171"/>
      <c r="D20" s="171"/>
      <c r="E20" s="174"/>
      <c r="F20" s="174"/>
      <c r="G20" s="172"/>
      <c r="H20" s="172"/>
      <c r="I20" s="174">
        <f>J20+K20+L20+M20+N20+O20+P20+Q20+R20+S20+T20+U20+V20</f>
        <v>1199.68855</v>
      </c>
      <c r="J20" s="174"/>
      <c r="K20" s="174"/>
      <c r="L20" s="179"/>
      <c r="M20" s="174"/>
      <c r="N20" s="174"/>
      <c r="O20" s="174">
        <v>1199.68855</v>
      </c>
      <c r="P20" s="175"/>
      <c r="Q20" s="175"/>
      <c r="R20" s="175"/>
      <c r="S20" s="175"/>
      <c r="T20" s="175"/>
      <c r="U20" s="175"/>
      <c r="V20" s="175"/>
    </row>
    <row r="21" spans="1:22" s="169" customFormat="1" ht="15">
      <c r="A21" s="11">
        <v>10</v>
      </c>
      <c r="B21" s="1" t="s">
        <v>1</v>
      </c>
      <c r="C21" s="171"/>
      <c r="D21" s="171"/>
      <c r="E21" s="174"/>
      <c r="F21" s="174"/>
      <c r="G21" s="172"/>
      <c r="H21" s="172"/>
      <c r="I21" s="174">
        <f>J21+K21+L21+M21+N21+O21+P21+Q21+R21+S21+T21+U21+V21</f>
        <v>0</v>
      </c>
      <c r="J21" s="174"/>
      <c r="K21" s="174"/>
      <c r="L21" s="179"/>
      <c r="M21" s="174"/>
      <c r="N21" s="174"/>
      <c r="O21" s="174"/>
      <c r="P21" s="175"/>
      <c r="Q21" s="175"/>
      <c r="R21" s="175"/>
      <c r="S21" s="175"/>
      <c r="T21" s="175"/>
      <c r="U21" s="175"/>
      <c r="V21" s="175"/>
    </row>
    <row r="22" spans="1:22" s="169" customFormat="1" ht="15">
      <c r="A22" s="11">
        <v>11</v>
      </c>
      <c r="B22" s="1" t="s">
        <v>2</v>
      </c>
      <c r="C22" s="171"/>
      <c r="D22" s="171"/>
      <c r="E22" s="174"/>
      <c r="F22" s="174"/>
      <c r="G22" s="172"/>
      <c r="H22" s="172"/>
      <c r="I22" s="174">
        <f>J22+K22+L22+M22+N22+O22+P22+Q22+R22+S22+T22+U22+V22</f>
        <v>6262.29</v>
      </c>
      <c r="J22" s="174"/>
      <c r="K22" s="174"/>
      <c r="L22" s="179"/>
      <c r="M22" s="174"/>
      <c r="N22" s="174">
        <v>6262.29</v>
      </c>
      <c r="O22" s="174"/>
      <c r="P22" s="175"/>
      <c r="Q22" s="175"/>
      <c r="R22" s="175"/>
      <c r="S22" s="175"/>
      <c r="T22" s="175"/>
      <c r="U22" s="175"/>
      <c r="V22" s="175"/>
    </row>
    <row r="23" spans="1:22" s="169" customFormat="1" ht="15">
      <c r="A23" s="11">
        <v>12</v>
      </c>
      <c r="B23" s="1" t="s">
        <v>4</v>
      </c>
      <c r="C23" s="171"/>
      <c r="D23" s="171"/>
      <c r="E23" s="174"/>
      <c r="F23" s="174"/>
      <c r="G23" s="172"/>
      <c r="H23" s="172"/>
      <c r="I23" s="174">
        <f>J23+K23+L23+M23+N23+O23+P23+Q23+R23+S23+T23+U23+V23</f>
        <v>0</v>
      </c>
      <c r="J23" s="174"/>
      <c r="K23" s="174"/>
      <c r="L23" s="179"/>
      <c r="M23" s="174"/>
      <c r="N23" s="174"/>
      <c r="O23" s="174"/>
      <c r="P23" s="175"/>
      <c r="Q23" s="175"/>
      <c r="R23" s="175"/>
      <c r="S23" s="175"/>
      <c r="T23" s="175"/>
      <c r="U23" s="175"/>
      <c r="V23" s="175"/>
    </row>
    <row r="24" spans="1:22" ht="78">
      <c r="A24" s="11">
        <v>13</v>
      </c>
      <c r="B24" s="1" t="s">
        <v>278</v>
      </c>
      <c r="C24" s="171"/>
      <c r="D24" s="171" t="s">
        <v>245</v>
      </c>
      <c r="E24" s="174">
        <v>100860.76</v>
      </c>
      <c r="F24" s="174">
        <v>105594.8</v>
      </c>
      <c r="G24" s="172">
        <v>2019</v>
      </c>
      <c r="H24" s="172">
        <v>2021</v>
      </c>
      <c r="I24" s="174">
        <f>I25</f>
        <v>114820.07093</v>
      </c>
      <c r="J24" s="174">
        <f aca="true" t="shared" si="6" ref="J24:V24">J25</f>
        <v>2073.2</v>
      </c>
      <c r="K24" s="174">
        <f t="shared" si="6"/>
        <v>0</v>
      </c>
      <c r="L24" s="179">
        <f t="shared" si="6"/>
        <v>515.34</v>
      </c>
      <c r="M24" s="174">
        <f t="shared" si="6"/>
        <v>5350.71</v>
      </c>
      <c r="N24" s="174">
        <f t="shared" si="6"/>
        <v>52479.5</v>
      </c>
      <c r="O24" s="174">
        <f t="shared" si="6"/>
        <v>49015.299999999996</v>
      </c>
      <c r="P24" s="174">
        <f t="shared" si="6"/>
        <v>5386.020930000001</v>
      </c>
      <c r="Q24" s="174">
        <f t="shared" si="6"/>
        <v>0</v>
      </c>
      <c r="R24" s="174">
        <f t="shared" si="6"/>
        <v>0</v>
      </c>
      <c r="S24" s="174">
        <f t="shared" si="6"/>
        <v>0</v>
      </c>
      <c r="T24" s="174">
        <f t="shared" si="6"/>
        <v>0</v>
      </c>
      <c r="U24" s="174">
        <f t="shared" si="6"/>
        <v>0</v>
      </c>
      <c r="V24" s="174">
        <f t="shared" si="6"/>
        <v>0</v>
      </c>
    </row>
    <row r="25" spans="1:22" ht="30.75">
      <c r="A25" s="11">
        <v>14</v>
      </c>
      <c r="B25" s="1" t="s">
        <v>248</v>
      </c>
      <c r="C25" s="171"/>
      <c r="D25" s="171"/>
      <c r="E25" s="174"/>
      <c r="F25" s="174"/>
      <c r="G25" s="172"/>
      <c r="H25" s="172"/>
      <c r="I25" s="174">
        <f>I26+I27+I28+I29</f>
        <v>114820.07093</v>
      </c>
      <c r="J25" s="174">
        <f aca="true" t="shared" si="7" ref="J25:O25">J26+J27+J28+J29</f>
        <v>2073.2</v>
      </c>
      <c r="K25" s="174">
        <f t="shared" si="7"/>
        <v>0</v>
      </c>
      <c r="L25" s="179">
        <f t="shared" si="7"/>
        <v>515.34</v>
      </c>
      <c r="M25" s="174">
        <f t="shared" si="7"/>
        <v>5350.71</v>
      </c>
      <c r="N25" s="174">
        <f t="shared" si="7"/>
        <v>52479.5</v>
      </c>
      <c r="O25" s="174">
        <f t="shared" si="7"/>
        <v>49015.299999999996</v>
      </c>
      <c r="P25" s="174">
        <f aca="true" t="shared" si="8" ref="P25:V25">P26+P27+P28+P29</f>
        <v>5386.020930000001</v>
      </c>
      <c r="Q25" s="174">
        <f t="shared" si="8"/>
        <v>0</v>
      </c>
      <c r="R25" s="174">
        <f t="shared" si="8"/>
        <v>0</v>
      </c>
      <c r="S25" s="174">
        <f t="shared" si="8"/>
        <v>0</v>
      </c>
      <c r="T25" s="174">
        <f t="shared" si="8"/>
        <v>0</v>
      </c>
      <c r="U25" s="174">
        <f t="shared" si="8"/>
        <v>0</v>
      </c>
      <c r="V25" s="174">
        <f t="shared" si="8"/>
        <v>0</v>
      </c>
    </row>
    <row r="26" spans="1:22" ht="15">
      <c r="A26" s="11">
        <v>15</v>
      </c>
      <c r="B26" s="1" t="s">
        <v>3</v>
      </c>
      <c r="C26" s="171"/>
      <c r="D26" s="171"/>
      <c r="E26" s="174"/>
      <c r="F26" s="174"/>
      <c r="G26" s="172"/>
      <c r="H26" s="172"/>
      <c r="I26" s="174">
        <f>J26+K26+L26+M26+N26+O26+P26+Q26+R26+S26+T26+U26+V26</f>
        <v>21786.57093</v>
      </c>
      <c r="J26" s="174">
        <v>2073.2</v>
      </c>
      <c r="K26" s="174"/>
      <c r="L26" s="179">
        <v>515.34</v>
      </c>
      <c r="M26" s="174">
        <v>5350.71</v>
      </c>
      <c r="N26" s="174">
        <v>1694.7</v>
      </c>
      <c r="O26" s="174">
        <f>1906.6+4860</f>
        <v>6766.6</v>
      </c>
      <c r="P26" s="174">
        <f>4179.42+1206.60093</f>
        <v>5386.020930000001</v>
      </c>
      <c r="Q26" s="176"/>
      <c r="R26" s="176"/>
      <c r="S26" s="176"/>
      <c r="T26" s="176"/>
      <c r="U26" s="176"/>
      <c r="V26" s="176"/>
    </row>
    <row r="27" spans="1:22" ht="15">
      <c r="A27" s="11">
        <v>16</v>
      </c>
      <c r="B27" s="1" t="s">
        <v>1</v>
      </c>
      <c r="C27" s="171"/>
      <c r="D27" s="171"/>
      <c r="E27" s="174"/>
      <c r="F27" s="174"/>
      <c r="G27" s="172"/>
      <c r="H27" s="172"/>
      <c r="I27" s="174">
        <f>J27+K27+L27+M27+N27+O27+P27+Q27+R27+S27+T27+U27+V27</f>
        <v>0</v>
      </c>
      <c r="J27" s="174"/>
      <c r="K27" s="174"/>
      <c r="L27" s="179"/>
      <c r="M27" s="174"/>
      <c r="N27" s="174"/>
      <c r="O27" s="174"/>
      <c r="P27" s="176"/>
      <c r="Q27" s="176"/>
      <c r="R27" s="176"/>
      <c r="S27" s="176"/>
      <c r="T27" s="176"/>
      <c r="U27" s="176"/>
      <c r="V27" s="176"/>
    </row>
    <row r="28" spans="1:22" ht="15">
      <c r="A28" s="11">
        <v>17</v>
      </c>
      <c r="B28" s="1" t="s">
        <v>2</v>
      </c>
      <c r="C28" s="171"/>
      <c r="D28" s="171"/>
      <c r="E28" s="174"/>
      <c r="F28" s="174"/>
      <c r="G28" s="172"/>
      <c r="H28" s="172"/>
      <c r="I28" s="174">
        <f>J28+K28+L28+M28+N28+O28+P28+Q28+R28+S28+T28+U28+V28</f>
        <v>93033.5</v>
      </c>
      <c r="J28" s="174"/>
      <c r="K28" s="174"/>
      <c r="L28" s="179"/>
      <c r="M28" s="174"/>
      <c r="N28" s="174">
        <v>50784.8</v>
      </c>
      <c r="O28" s="174">
        <v>42248.7</v>
      </c>
      <c r="P28" s="176"/>
      <c r="Q28" s="176"/>
      <c r="R28" s="176"/>
      <c r="S28" s="176"/>
      <c r="T28" s="176"/>
      <c r="U28" s="176"/>
      <c r="V28" s="176"/>
    </row>
    <row r="29" spans="1:22" ht="15">
      <c r="A29" s="11">
        <v>18</v>
      </c>
      <c r="B29" s="1" t="s">
        <v>4</v>
      </c>
      <c r="C29" s="171"/>
      <c r="D29" s="171"/>
      <c r="E29" s="174"/>
      <c r="F29" s="174"/>
      <c r="G29" s="172"/>
      <c r="H29" s="172"/>
      <c r="I29" s="174">
        <f>J29+K29+L29+M29+N29+O29+P29+Q29+R29+S29+T29+U29+V29</f>
        <v>0</v>
      </c>
      <c r="J29" s="174"/>
      <c r="K29" s="174"/>
      <c r="L29" s="179"/>
      <c r="M29" s="174"/>
      <c r="N29" s="174"/>
      <c r="O29" s="174"/>
      <c r="P29" s="176"/>
      <c r="Q29" s="176"/>
      <c r="R29" s="176"/>
      <c r="S29" s="176"/>
      <c r="T29" s="176"/>
      <c r="U29" s="176"/>
      <c r="V29" s="176"/>
    </row>
    <row r="30" spans="1:22" ht="46.5">
      <c r="A30" s="11">
        <v>19</v>
      </c>
      <c r="B30" s="1" t="s">
        <v>279</v>
      </c>
      <c r="C30" s="171"/>
      <c r="D30" s="171" t="s">
        <v>245</v>
      </c>
      <c r="E30" s="174"/>
      <c r="F30" s="174"/>
      <c r="G30" s="172"/>
      <c r="H30" s="172"/>
      <c r="I30" s="174">
        <f>I31</f>
        <v>99</v>
      </c>
      <c r="J30" s="174">
        <f aca="true" t="shared" si="9" ref="J30:V30">J31</f>
        <v>99</v>
      </c>
      <c r="K30" s="174">
        <f t="shared" si="9"/>
        <v>0</v>
      </c>
      <c r="L30" s="179">
        <f t="shared" si="9"/>
        <v>0</v>
      </c>
      <c r="M30" s="174">
        <f t="shared" si="9"/>
        <v>0</v>
      </c>
      <c r="N30" s="174">
        <f t="shared" si="9"/>
        <v>0</v>
      </c>
      <c r="O30" s="174">
        <f t="shared" si="9"/>
        <v>0</v>
      </c>
      <c r="P30" s="174">
        <f t="shared" si="9"/>
        <v>0</v>
      </c>
      <c r="Q30" s="174">
        <f t="shared" si="9"/>
        <v>0</v>
      </c>
      <c r="R30" s="174">
        <f t="shared" si="9"/>
        <v>0</v>
      </c>
      <c r="S30" s="174">
        <f t="shared" si="9"/>
        <v>0</v>
      </c>
      <c r="T30" s="174">
        <f t="shared" si="9"/>
        <v>0</v>
      </c>
      <c r="U30" s="174">
        <f t="shared" si="9"/>
        <v>0</v>
      </c>
      <c r="V30" s="174">
        <f t="shared" si="9"/>
        <v>0</v>
      </c>
    </row>
    <row r="31" spans="1:22" ht="37.5" customHeight="1">
      <c r="A31" s="11">
        <v>20</v>
      </c>
      <c r="B31" s="1" t="s">
        <v>249</v>
      </c>
      <c r="C31" s="171"/>
      <c r="D31" s="171"/>
      <c r="E31" s="174"/>
      <c r="F31" s="174"/>
      <c r="G31" s="172"/>
      <c r="H31" s="172"/>
      <c r="I31" s="174">
        <f>I32+I33+I34+I35</f>
        <v>99</v>
      </c>
      <c r="J31" s="174">
        <f aca="true" t="shared" si="10" ref="J31:O31">J32+J33+J34+J35</f>
        <v>99</v>
      </c>
      <c r="K31" s="174">
        <f t="shared" si="10"/>
        <v>0</v>
      </c>
      <c r="L31" s="179">
        <f t="shared" si="10"/>
        <v>0</v>
      </c>
      <c r="M31" s="174">
        <f t="shared" si="10"/>
        <v>0</v>
      </c>
      <c r="N31" s="174">
        <f t="shared" si="10"/>
        <v>0</v>
      </c>
      <c r="O31" s="174">
        <f t="shared" si="10"/>
        <v>0</v>
      </c>
      <c r="P31" s="174">
        <f aca="true" t="shared" si="11" ref="P31:V31">P32+P33+P34+P35</f>
        <v>0</v>
      </c>
      <c r="Q31" s="174">
        <f t="shared" si="11"/>
        <v>0</v>
      </c>
      <c r="R31" s="174">
        <f t="shared" si="11"/>
        <v>0</v>
      </c>
      <c r="S31" s="174">
        <f t="shared" si="11"/>
        <v>0</v>
      </c>
      <c r="T31" s="174">
        <f t="shared" si="11"/>
        <v>0</v>
      </c>
      <c r="U31" s="174">
        <f t="shared" si="11"/>
        <v>0</v>
      </c>
      <c r="V31" s="174">
        <f t="shared" si="11"/>
        <v>0</v>
      </c>
    </row>
    <row r="32" spans="1:22" ht="15">
      <c r="A32" s="11">
        <v>21</v>
      </c>
      <c r="B32" s="1" t="s">
        <v>3</v>
      </c>
      <c r="C32" s="171"/>
      <c r="D32" s="171"/>
      <c r="E32" s="174"/>
      <c r="F32" s="174"/>
      <c r="G32" s="172"/>
      <c r="H32" s="172"/>
      <c r="I32" s="174">
        <f>J32+K32+L32+M32+N32+O32+P32+Q32+R32+S32+T32+U32+V32</f>
        <v>99</v>
      </c>
      <c r="J32" s="174">
        <v>99</v>
      </c>
      <c r="K32" s="174"/>
      <c r="L32" s="179"/>
      <c r="M32" s="174"/>
      <c r="N32" s="174"/>
      <c r="O32" s="174"/>
      <c r="P32" s="176"/>
      <c r="Q32" s="176"/>
      <c r="R32" s="176"/>
      <c r="S32" s="176"/>
      <c r="T32" s="176"/>
      <c r="U32" s="176"/>
      <c r="V32" s="176"/>
    </row>
    <row r="33" spans="1:22" ht="15">
      <c r="A33" s="11">
        <v>22</v>
      </c>
      <c r="B33" s="1" t="s">
        <v>1</v>
      </c>
      <c r="C33" s="171"/>
      <c r="D33" s="171"/>
      <c r="E33" s="174"/>
      <c r="F33" s="174"/>
      <c r="G33" s="172"/>
      <c r="H33" s="172"/>
      <c r="I33" s="174">
        <f>J33+K33+L33+M33+N33+O33+P33+Q33+R33+S33+T33+U33+V33</f>
        <v>0</v>
      </c>
      <c r="J33" s="174"/>
      <c r="K33" s="174"/>
      <c r="L33" s="179"/>
      <c r="M33" s="174"/>
      <c r="N33" s="174"/>
      <c r="O33" s="174"/>
      <c r="P33" s="176"/>
      <c r="Q33" s="176"/>
      <c r="R33" s="176"/>
      <c r="S33" s="176"/>
      <c r="T33" s="176"/>
      <c r="U33" s="176"/>
      <c r="V33" s="176"/>
    </row>
    <row r="34" spans="1:22" ht="15">
      <c r="A34" s="11">
        <v>23</v>
      </c>
      <c r="B34" s="1" t="s">
        <v>2</v>
      </c>
      <c r="C34" s="171"/>
      <c r="D34" s="171"/>
      <c r="E34" s="174"/>
      <c r="F34" s="174"/>
      <c r="G34" s="172"/>
      <c r="H34" s="172"/>
      <c r="I34" s="174">
        <f>J34+K34+L34+M34+N34+O34+P34+Q34+R34+S34+T34+U34+V34</f>
        <v>0</v>
      </c>
      <c r="J34" s="174"/>
      <c r="K34" s="174"/>
      <c r="L34" s="179"/>
      <c r="M34" s="174"/>
      <c r="N34" s="174"/>
      <c r="O34" s="174"/>
      <c r="P34" s="176"/>
      <c r="Q34" s="176"/>
      <c r="R34" s="176"/>
      <c r="S34" s="176"/>
      <c r="T34" s="176"/>
      <c r="U34" s="176"/>
      <c r="V34" s="176"/>
    </row>
    <row r="35" spans="1:22" ht="15">
      <c r="A35" s="11">
        <v>24</v>
      </c>
      <c r="B35" s="1" t="s">
        <v>4</v>
      </c>
      <c r="C35" s="171"/>
      <c r="D35" s="171"/>
      <c r="E35" s="174"/>
      <c r="F35" s="174"/>
      <c r="G35" s="172"/>
      <c r="H35" s="172"/>
      <c r="I35" s="174">
        <f>J35+K35+L35+M35+N35+O35+P35+Q35+R35+S35+T35+U35+V35</f>
        <v>0</v>
      </c>
      <c r="J35" s="174"/>
      <c r="K35" s="174"/>
      <c r="L35" s="179"/>
      <c r="M35" s="174"/>
      <c r="N35" s="174"/>
      <c r="O35" s="174"/>
      <c r="P35" s="176"/>
      <c r="Q35" s="176"/>
      <c r="R35" s="176"/>
      <c r="S35" s="176"/>
      <c r="T35" s="176"/>
      <c r="U35" s="176"/>
      <c r="V35" s="176"/>
    </row>
    <row r="36" spans="1:22" ht="78">
      <c r="A36" s="11">
        <v>25</v>
      </c>
      <c r="B36" s="1" t="s">
        <v>280</v>
      </c>
      <c r="C36" s="171"/>
      <c r="D36" s="171" t="s">
        <v>245</v>
      </c>
      <c r="E36" s="179">
        <v>418660.4</v>
      </c>
      <c r="F36" s="174">
        <v>460724.1</v>
      </c>
      <c r="G36" s="240">
        <v>2022</v>
      </c>
      <c r="H36" s="240">
        <v>2023</v>
      </c>
      <c r="I36" s="174">
        <f>I37</f>
        <v>464624.19577999995</v>
      </c>
      <c r="J36" s="174">
        <f aca="true" t="shared" si="12" ref="J36:V36">J37</f>
        <v>0</v>
      </c>
      <c r="K36" s="174">
        <f t="shared" si="12"/>
        <v>0</v>
      </c>
      <c r="L36" s="179">
        <f t="shared" si="12"/>
        <v>0</v>
      </c>
      <c r="M36" s="174">
        <f t="shared" si="12"/>
        <v>0</v>
      </c>
      <c r="N36" s="174">
        <f t="shared" si="12"/>
        <v>3900.1</v>
      </c>
      <c r="O36" s="174">
        <f t="shared" si="12"/>
        <v>0</v>
      </c>
      <c r="P36" s="174">
        <f t="shared" si="12"/>
        <v>0</v>
      </c>
      <c r="Q36" s="174">
        <f t="shared" si="12"/>
        <v>184289.638312</v>
      </c>
      <c r="R36" s="174">
        <f t="shared" si="12"/>
        <v>276434.457468</v>
      </c>
      <c r="S36" s="174">
        <f t="shared" si="12"/>
        <v>0</v>
      </c>
      <c r="T36" s="174">
        <f t="shared" si="12"/>
        <v>0</v>
      </c>
      <c r="U36" s="174">
        <f t="shared" si="12"/>
        <v>0</v>
      </c>
      <c r="V36" s="174">
        <f t="shared" si="12"/>
        <v>0</v>
      </c>
    </row>
    <row r="37" spans="1:22" ht="30.75">
      <c r="A37" s="11">
        <v>26</v>
      </c>
      <c r="B37" s="1" t="s">
        <v>251</v>
      </c>
      <c r="C37" s="171"/>
      <c r="D37" s="171"/>
      <c r="E37" s="174"/>
      <c r="F37" s="174"/>
      <c r="G37" s="172"/>
      <c r="H37" s="172"/>
      <c r="I37" s="174">
        <f>I38+I39+I40+I41</f>
        <v>464624.19577999995</v>
      </c>
      <c r="J37" s="174">
        <f aca="true" t="shared" si="13" ref="J37:O37">J38+J39+J40+J41</f>
        <v>0</v>
      </c>
      <c r="K37" s="174">
        <f t="shared" si="13"/>
        <v>0</v>
      </c>
      <c r="L37" s="179">
        <f t="shared" si="13"/>
        <v>0</v>
      </c>
      <c r="M37" s="174">
        <f t="shared" si="13"/>
        <v>0</v>
      </c>
      <c r="N37" s="174">
        <f t="shared" si="13"/>
        <v>3900.1</v>
      </c>
      <c r="O37" s="174">
        <f t="shared" si="13"/>
        <v>0</v>
      </c>
      <c r="P37" s="174">
        <f aca="true" t="shared" si="14" ref="P37:V37">P38+P39+P40+P41</f>
        <v>0</v>
      </c>
      <c r="Q37" s="174">
        <f t="shared" si="14"/>
        <v>184289.638312</v>
      </c>
      <c r="R37" s="174">
        <f t="shared" si="14"/>
        <v>276434.457468</v>
      </c>
      <c r="S37" s="174">
        <f t="shared" si="14"/>
        <v>0</v>
      </c>
      <c r="T37" s="174">
        <f t="shared" si="14"/>
        <v>0</v>
      </c>
      <c r="U37" s="174">
        <f t="shared" si="14"/>
        <v>0</v>
      </c>
      <c r="V37" s="174">
        <f t="shared" si="14"/>
        <v>0</v>
      </c>
    </row>
    <row r="38" spans="1:22" ht="15">
      <c r="A38" s="11">
        <v>27</v>
      </c>
      <c r="B38" s="1" t="s">
        <v>3</v>
      </c>
      <c r="C38" s="171"/>
      <c r="D38" s="171"/>
      <c r="E38" s="174"/>
      <c r="F38" s="174"/>
      <c r="G38" s="172"/>
      <c r="H38" s="172"/>
      <c r="I38" s="174">
        <f>J38+K38+L38+M38+N38+O38+P38+Q38+R38+S38+T38+U38+V38</f>
        <v>3900.1</v>
      </c>
      <c r="J38" s="174"/>
      <c r="K38" s="174"/>
      <c r="L38" s="179"/>
      <c r="M38" s="174"/>
      <c r="N38" s="174">
        <v>3900.1</v>
      </c>
      <c r="O38" s="174"/>
      <c r="P38" s="176"/>
      <c r="Q38" s="176"/>
      <c r="R38" s="176"/>
      <c r="S38" s="176"/>
      <c r="T38" s="176"/>
      <c r="U38" s="176"/>
      <c r="V38" s="176"/>
    </row>
    <row r="39" spans="1:22" ht="15">
      <c r="A39" s="11">
        <v>28</v>
      </c>
      <c r="B39" s="1" t="s">
        <v>1</v>
      </c>
      <c r="C39" s="171"/>
      <c r="D39" s="171"/>
      <c r="E39" s="174"/>
      <c r="F39" s="174"/>
      <c r="G39" s="172"/>
      <c r="H39" s="172"/>
      <c r="I39" s="174">
        <f>J39+K39+L39+M39+N39+O39+P39+Q39+R39+S39+T39+U39+V39</f>
        <v>0</v>
      </c>
      <c r="J39" s="174"/>
      <c r="K39" s="174"/>
      <c r="L39" s="179"/>
      <c r="M39" s="174"/>
      <c r="N39" s="174"/>
      <c r="O39" s="174"/>
      <c r="P39" s="176"/>
      <c r="Q39" s="176"/>
      <c r="R39" s="176"/>
      <c r="S39" s="176"/>
      <c r="T39" s="176"/>
      <c r="U39" s="176"/>
      <c r="V39" s="176"/>
    </row>
    <row r="40" spans="1:22" ht="15">
      <c r="A40" s="11">
        <v>29</v>
      </c>
      <c r="B40" s="1" t="s">
        <v>2</v>
      </c>
      <c r="C40" s="171"/>
      <c r="D40" s="171"/>
      <c r="E40" s="174"/>
      <c r="F40" s="174"/>
      <c r="G40" s="172"/>
      <c r="H40" s="172"/>
      <c r="I40" s="174">
        <f>J40+K40+L40+M40+N40+O40+P40+Q40+R40+S40+T40+U40+V40</f>
        <v>0</v>
      </c>
      <c r="J40" s="174"/>
      <c r="K40" s="174"/>
      <c r="L40" s="179"/>
      <c r="M40" s="174"/>
      <c r="N40" s="174"/>
      <c r="O40" s="174"/>
      <c r="P40" s="176"/>
      <c r="Q40" s="176"/>
      <c r="R40" s="176"/>
      <c r="S40" s="176"/>
      <c r="T40" s="176"/>
      <c r="U40" s="176"/>
      <c r="V40" s="176"/>
    </row>
    <row r="41" spans="1:22" ht="15">
      <c r="A41" s="11">
        <v>30</v>
      </c>
      <c r="B41" s="1" t="s">
        <v>4</v>
      </c>
      <c r="C41" s="171"/>
      <c r="D41" s="171"/>
      <c r="E41" s="174"/>
      <c r="F41" s="174"/>
      <c r="G41" s="172"/>
      <c r="H41" s="172"/>
      <c r="I41" s="174">
        <f>J41+K41+L41+M41+N41+O41+P41+Q41+R41+S41+T41+U41+V41</f>
        <v>460724.09578</v>
      </c>
      <c r="J41" s="174"/>
      <c r="K41" s="174"/>
      <c r="L41" s="179"/>
      <c r="M41" s="174"/>
      <c r="N41" s="174"/>
      <c r="P41" s="174"/>
      <c r="Q41" s="174">
        <v>184289.638312</v>
      </c>
      <c r="R41" s="174">
        <v>276434.457468</v>
      </c>
      <c r="S41" s="176"/>
      <c r="T41" s="176"/>
      <c r="U41" s="176"/>
      <c r="V41" s="176"/>
    </row>
    <row r="42" spans="1:22" ht="78">
      <c r="A42" s="11">
        <v>31</v>
      </c>
      <c r="B42" s="173" t="s">
        <v>281</v>
      </c>
      <c r="C42" s="171" t="s">
        <v>250</v>
      </c>
      <c r="D42" s="171" t="s">
        <v>245</v>
      </c>
      <c r="E42" s="174">
        <v>31211.19</v>
      </c>
      <c r="F42" s="174">
        <v>33368.7</v>
      </c>
      <c r="G42" s="172">
        <v>2018</v>
      </c>
      <c r="H42" s="172">
        <v>2019</v>
      </c>
      <c r="I42" s="174">
        <f>I43</f>
        <v>33368.7</v>
      </c>
      <c r="J42" s="177">
        <f aca="true" t="shared" si="15" ref="J42:V42">SUM(J43)</f>
        <v>0</v>
      </c>
      <c r="K42" s="177">
        <f t="shared" si="15"/>
        <v>0</v>
      </c>
      <c r="L42" s="180">
        <f t="shared" si="15"/>
        <v>0</v>
      </c>
      <c r="M42" s="177">
        <f t="shared" si="15"/>
        <v>3005.5</v>
      </c>
      <c r="N42" s="177">
        <f t="shared" si="15"/>
        <v>30363.2</v>
      </c>
      <c r="O42" s="177">
        <f t="shared" si="15"/>
        <v>0</v>
      </c>
      <c r="P42" s="177">
        <f t="shared" si="15"/>
        <v>0</v>
      </c>
      <c r="Q42" s="177">
        <f t="shared" si="15"/>
        <v>0</v>
      </c>
      <c r="R42" s="177">
        <f t="shared" si="15"/>
        <v>0</v>
      </c>
      <c r="S42" s="177">
        <f t="shared" si="15"/>
        <v>0</v>
      </c>
      <c r="T42" s="177">
        <f t="shared" si="15"/>
        <v>0</v>
      </c>
      <c r="U42" s="177">
        <f t="shared" si="15"/>
        <v>0</v>
      </c>
      <c r="V42" s="177">
        <f t="shared" si="15"/>
        <v>0</v>
      </c>
    </row>
    <row r="43" spans="1:22" ht="37.5" customHeight="1">
      <c r="A43" s="11">
        <v>32</v>
      </c>
      <c r="B43" s="1" t="s">
        <v>252</v>
      </c>
      <c r="C43" s="171"/>
      <c r="D43" s="171"/>
      <c r="E43" s="174"/>
      <c r="F43" s="174"/>
      <c r="G43" s="172"/>
      <c r="H43" s="172"/>
      <c r="I43" s="174">
        <f>I44+I45+I46+I47</f>
        <v>33368.7</v>
      </c>
      <c r="J43" s="174">
        <f aca="true" t="shared" si="16" ref="J43:O43">J44+J45+J46+J47</f>
        <v>0</v>
      </c>
      <c r="K43" s="174">
        <f t="shared" si="16"/>
        <v>0</v>
      </c>
      <c r="L43" s="179">
        <f t="shared" si="16"/>
        <v>0</v>
      </c>
      <c r="M43" s="174">
        <f t="shared" si="16"/>
        <v>3005.5</v>
      </c>
      <c r="N43" s="174">
        <f t="shared" si="16"/>
        <v>30363.2</v>
      </c>
      <c r="O43" s="174">
        <f t="shared" si="16"/>
        <v>0</v>
      </c>
      <c r="P43" s="174">
        <f aca="true" t="shared" si="17" ref="P43:V43">P44+P45+P46+P47</f>
        <v>0</v>
      </c>
      <c r="Q43" s="174">
        <f t="shared" si="17"/>
        <v>0</v>
      </c>
      <c r="R43" s="174">
        <f t="shared" si="17"/>
        <v>0</v>
      </c>
      <c r="S43" s="174">
        <f t="shared" si="17"/>
        <v>0</v>
      </c>
      <c r="T43" s="174">
        <f t="shared" si="17"/>
        <v>0</v>
      </c>
      <c r="U43" s="174">
        <f t="shared" si="17"/>
        <v>0</v>
      </c>
      <c r="V43" s="174">
        <f t="shared" si="17"/>
        <v>0</v>
      </c>
    </row>
    <row r="44" spans="1:22" ht="15">
      <c r="A44" s="11">
        <v>33</v>
      </c>
      <c r="B44" s="1" t="s">
        <v>3</v>
      </c>
      <c r="C44" s="171"/>
      <c r="D44" s="171"/>
      <c r="E44" s="174"/>
      <c r="F44" s="174"/>
      <c r="G44" s="172"/>
      <c r="H44" s="172"/>
      <c r="I44" s="174">
        <f>J44+K44+L44+M44+N44+O44+P44+Q44+R44+S44+T44+U44+V44</f>
        <v>3851.5</v>
      </c>
      <c r="J44" s="174"/>
      <c r="K44" s="174"/>
      <c r="L44" s="179"/>
      <c r="M44" s="174">
        <v>150.3</v>
      </c>
      <c r="N44" s="174">
        <v>3701.2</v>
      </c>
      <c r="O44" s="174"/>
      <c r="P44" s="176"/>
      <c r="Q44" s="176"/>
      <c r="R44" s="176"/>
      <c r="S44" s="176"/>
      <c r="T44" s="176"/>
      <c r="U44" s="176"/>
      <c r="V44" s="176"/>
    </row>
    <row r="45" spans="1:22" ht="15">
      <c r="A45" s="11">
        <v>34</v>
      </c>
      <c r="B45" s="1" t="s">
        <v>1</v>
      </c>
      <c r="C45" s="171"/>
      <c r="D45" s="171"/>
      <c r="E45" s="174"/>
      <c r="F45" s="174"/>
      <c r="G45" s="172"/>
      <c r="H45" s="172"/>
      <c r="I45" s="174">
        <f>J45+K45+L45+M45+N45+O45+P45+Q45+R45+S45+T45+U45+V45</f>
        <v>0</v>
      </c>
      <c r="J45" s="174"/>
      <c r="K45" s="174"/>
      <c r="L45" s="179"/>
      <c r="M45" s="174"/>
      <c r="N45" s="174"/>
      <c r="O45" s="174"/>
      <c r="P45" s="176"/>
      <c r="Q45" s="176"/>
      <c r="R45" s="176"/>
      <c r="S45" s="176"/>
      <c r="T45" s="176"/>
      <c r="U45" s="176"/>
      <c r="V45" s="176"/>
    </row>
    <row r="46" spans="1:22" ht="15">
      <c r="A46" s="11">
        <v>35</v>
      </c>
      <c r="B46" s="1" t="s">
        <v>2</v>
      </c>
      <c r="C46" s="171"/>
      <c r="D46" s="171"/>
      <c r="E46" s="174"/>
      <c r="F46" s="174"/>
      <c r="G46" s="172"/>
      <c r="H46" s="172"/>
      <c r="I46" s="174">
        <f>J46+K46+L46+M46+N46+O46+P46+Q46+R46+S46+T46+U46+V46</f>
        <v>29517.2</v>
      </c>
      <c r="J46" s="174"/>
      <c r="K46" s="174"/>
      <c r="L46" s="179"/>
      <c r="M46" s="174">
        <v>2855.2</v>
      </c>
      <c r="N46" s="174">
        <v>26662</v>
      </c>
      <c r="O46" s="174"/>
      <c r="P46" s="176"/>
      <c r="Q46" s="176"/>
      <c r="R46" s="176"/>
      <c r="S46" s="176"/>
      <c r="T46" s="176"/>
      <c r="U46" s="176"/>
      <c r="V46" s="176"/>
    </row>
    <row r="47" spans="1:22" ht="15">
      <c r="A47" s="11">
        <v>36</v>
      </c>
      <c r="B47" s="1" t="s">
        <v>4</v>
      </c>
      <c r="C47" s="171"/>
      <c r="D47" s="171"/>
      <c r="E47" s="174"/>
      <c r="F47" s="174"/>
      <c r="G47" s="172"/>
      <c r="H47" s="172"/>
      <c r="I47" s="174">
        <f>J47+K47+L47+M47+N47+O47+P47+Q47+R47+S47+T47+U47+V47</f>
        <v>0</v>
      </c>
      <c r="J47" s="174"/>
      <c r="K47" s="174"/>
      <c r="L47" s="179"/>
      <c r="M47" s="174"/>
      <c r="N47" s="174"/>
      <c r="O47" s="174"/>
      <c r="P47" s="176"/>
      <c r="Q47" s="176"/>
      <c r="R47" s="176"/>
      <c r="S47" s="176"/>
      <c r="T47" s="176"/>
      <c r="U47" s="176"/>
      <c r="V47" s="176"/>
    </row>
    <row r="48" spans="1:22" ht="109.5">
      <c r="A48" s="11">
        <v>37</v>
      </c>
      <c r="B48" s="173" t="s">
        <v>282</v>
      </c>
      <c r="C48" s="171" t="s">
        <v>255</v>
      </c>
      <c r="D48" s="171" t="s">
        <v>245</v>
      </c>
      <c r="E48" s="174"/>
      <c r="F48" s="174">
        <v>76660.36</v>
      </c>
      <c r="G48" s="172">
        <v>2019</v>
      </c>
      <c r="H48" s="172">
        <v>2020</v>
      </c>
      <c r="I48" s="174">
        <f>I49</f>
        <v>76660.36099999999</v>
      </c>
      <c r="J48" s="177">
        <f aca="true" t="shared" si="18" ref="J48:V48">SUM(J49)</f>
        <v>0</v>
      </c>
      <c r="K48" s="177">
        <f t="shared" si="18"/>
        <v>0</v>
      </c>
      <c r="L48" s="180">
        <f t="shared" si="18"/>
        <v>0</v>
      </c>
      <c r="M48" s="177">
        <f t="shared" si="18"/>
        <v>1503.35</v>
      </c>
      <c r="N48" s="177">
        <f t="shared" si="18"/>
        <v>3224.63</v>
      </c>
      <c r="O48" s="177">
        <f t="shared" si="18"/>
        <v>71932.381</v>
      </c>
      <c r="P48" s="177">
        <f t="shared" si="18"/>
        <v>0</v>
      </c>
      <c r="Q48" s="177">
        <f t="shared" si="18"/>
        <v>0</v>
      </c>
      <c r="R48" s="177">
        <f t="shared" si="18"/>
        <v>0</v>
      </c>
      <c r="S48" s="177">
        <f t="shared" si="18"/>
        <v>0</v>
      </c>
      <c r="T48" s="177">
        <f t="shared" si="18"/>
        <v>0</v>
      </c>
      <c r="U48" s="177">
        <f t="shared" si="18"/>
        <v>0</v>
      </c>
      <c r="V48" s="177">
        <f t="shared" si="18"/>
        <v>0</v>
      </c>
    </row>
    <row r="49" spans="1:22" ht="30.75">
      <c r="A49" s="11">
        <v>38</v>
      </c>
      <c r="B49" s="1" t="s">
        <v>253</v>
      </c>
      <c r="C49" s="171"/>
      <c r="D49" s="171"/>
      <c r="E49" s="174"/>
      <c r="F49" s="174"/>
      <c r="G49" s="172"/>
      <c r="H49" s="172"/>
      <c r="I49" s="174">
        <f>I50+I51+I52+I53</f>
        <v>76660.36099999999</v>
      </c>
      <c r="J49" s="174">
        <f aca="true" t="shared" si="19" ref="J49:P49">J50+J51+J52+J53</f>
        <v>0</v>
      </c>
      <c r="K49" s="174">
        <f t="shared" si="19"/>
        <v>0</v>
      </c>
      <c r="L49" s="179">
        <f t="shared" si="19"/>
        <v>0</v>
      </c>
      <c r="M49" s="174">
        <f t="shared" si="19"/>
        <v>1503.35</v>
      </c>
      <c r="N49" s="174">
        <f t="shared" si="19"/>
        <v>3224.63</v>
      </c>
      <c r="O49" s="174">
        <f t="shared" si="19"/>
        <v>71932.381</v>
      </c>
      <c r="P49" s="174">
        <f t="shared" si="19"/>
        <v>0</v>
      </c>
      <c r="Q49" s="174">
        <f aca="true" t="shared" si="20" ref="Q49:V49">Q50+Q51+Q52+Q53</f>
        <v>0</v>
      </c>
      <c r="R49" s="174">
        <f t="shared" si="20"/>
        <v>0</v>
      </c>
      <c r="S49" s="174">
        <f t="shared" si="20"/>
        <v>0</v>
      </c>
      <c r="T49" s="174">
        <f t="shared" si="20"/>
        <v>0</v>
      </c>
      <c r="U49" s="174">
        <f t="shared" si="20"/>
        <v>0</v>
      </c>
      <c r="V49" s="174">
        <f t="shared" si="20"/>
        <v>0</v>
      </c>
    </row>
    <row r="50" spans="1:22" ht="15">
      <c r="A50" s="11">
        <v>39</v>
      </c>
      <c r="B50" s="1" t="s">
        <v>3</v>
      </c>
      <c r="C50" s="171"/>
      <c r="D50" s="171"/>
      <c r="E50" s="174"/>
      <c r="F50" s="174"/>
      <c r="G50" s="172"/>
      <c r="H50" s="172"/>
      <c r="I50" s="174">
        <f>J50+K50+L50+M50+N50+O50+P50+Q50+R50+S50+T50+U50+V50</f>
        <v>7522.862999999999</v>
      </c>
      <c r="J50" s="174"/>
      <c r="K50" s="174"/>
      <c r="L50" s="179"/>
      <c r="M50" s="174">
        <v>1503.35</v>
      </c>
      <c r="N50" s="174">
        <v>161.23</v>
      </c>
      <c r="O50" s="174">
        <f>3477.59+700+983.494+697.199</f>
        <v>5858.282999999999</v>
      </c>
      <c r="P50" s="176"/>
      <c r="Q50" s="176"/>
      <c r="R50" s="176"/>
      <c r="S50" s="176"/>
      <c r="T50" s="176"/>
      <c r="U50" s="176"/>
      <c r="V50" s="176"/>
    </row>
    <row r="51" spans="1:22" ht="15">
      <c r="A51" s="11">
        <v>40</v>
      </c>
      <c r="B51" s="1" t="s">
        <v>1</v>
      </c>
      <c r="C51" s="171"/>
      <c r="D51" s="171"/>
      <c r="E51" s="174"/>
      <c r="F51" s="174"/>
      <c r="G51" s="172"/>
      <c r="H51" s="172"/>
      <c r="I51" s="174">
        <f>J51+K51+L51+M51+N51+O51+P51+Q51+R51+S51+T51+U51+V51</f>
        <v>0</v>
      </c>
      <c r="J51" s="174"/>
      <c r="K51" s="174"/>
      <c r="L51" s="179"/>
      <c r="M51" s="174"/>
      <c r="N51" s="174"/>
      <c r="O51" s="174"/>
      <c r="P51" s="176"/>
      <c r="Q51" s="176"/>
      <c r="R51" s="176"/>
      <c r="S51" s="176"/>
      <c r="T51" s="176"/>
      <c r="U51" s="176"/>
      <c r="V51" s="176"/>
    </row>
    <row r="52" spans="1:22" ht="15">
      <c r="A52" s="11">
        <v>41</v>
      </c>
      <c r="B52" s="1" t="s">
        <v>2</v>
      </c>
      <c r="C52" s="171"/>
      <c r="D52" s="171"/>
      <c r="E52" s="174"/>
      <c r="F52" s="174"/>
      <c r="G52" s="172"/>
      <c r="H52" s="172"/>
      <c r="I52" s="174">
        <f>J52+K52+L52+M52+N52+O52+P52+Q52+R52+S52+T52+U52+V52</f>
        <v>69137.49799999999</v>
      </c>
      <c r="J52" s="174"/>
      <c r="K52" s="174"/>
      <c r="L52" s="179"/>
      <c r="M52" s="174"/>
      <c r="N52" s="174">
        <v>3063.4</v>
      </c>
      <c r="O52" s="174">
        <v>66074.098</v>
      </c>
      <c r="P52" s="176"/>
      <c r="Q52" s="176"/>
      <c r="R52" s="176"/>
      <c r="S52" s="176"/>
      <c r="T52" s="176"/>
      <c r="U52" s="176"/>
      <c r="V52" s="176"/>
    </row>
    <row r="53" spans="1:22" ht="15">
      <c r="A53" s="11">
        <v>42</v>
      </c>
      <c r="B53" s="1" t="s">
        <v>4</v>
      </c>
      <c r="C53" s="171"/>
      <c r="D53" s="171"/>
      <c r="E53" s="174"/>
      <c r="F53" s="174"/>
      <c r="G53" s="172"/>
      <c r="H53" s="172"/>
      <c r="I53" s="174">
        <f>J53+K53+L53+M53+N53+O53+P53+Q53+R53+S53+T53+U53+V53</f>
        <v>0</v>
      </c>
      <c r="J53" s="174"/>
      <c r="K53" s="174"/>
      <c r="L53" s="179"/>
      <c r="M53" s="174"/>
      <c r="N53" s="174"/>
      <c r="O53" s="174"/>
      <c r="P53" s="176"/>
      <c r="Q53" s="176"/>
      <c r="R53" s="176"/>
      <c r="S53" s="176"/>
      <c r="T53" s="176"/>
      <c r="U53" s="176"/>
      <c r="V53" s="176"/>
    </row>
    <row r="54" spans="1:22" ht="93.75">
      <c r="A54" s="11">
        <v>43</v>
      </c>
      <c r="B54" s="1" t="s">
        <v>283</v>
      </c>
      <c r="C54" s="171" t="s">
        <v>256</v>
      </c>
      <c r="D54" s="171" t="s">
        <v>245</v>
      </c>
      <c r="E54" s="174">
        <v>62192.02</v>
      </c>
      <c r="F54" s="174">
        <v>62192.02</v>
      </c>
      <c r="G54" s="172">
        <v>2019</v>
      </c>
      <c r="H54" s="172">
        <v>2020</v>
      </c>
      <c r="I54" s="174">
        <f>I55</f>
        <v>62192.02114</v>
      </c>
      <c r="J54" s="174">
        <f aca="true" t="shared" si="21" ref="J54:V54">J55</f>
        <v>0</v>
      </c>
      <c r="K54" s="174">
        <f t="shared" si="21"/>
        <v>0</v>
      </c>
      <c r="L54" s="179">
        <f t="shared" si="21"/>
        <v>0</v>
      </c>
      <c r="M54" s="174">
        <f t="shared" si="21"/>
        <v>4298.75</v>
      </c>
      <c r="N54" s="174">
        <f t="shared" si="21"/>
        <v>15388</v>
      </c>
      <c r="O54" s="174">
        <f t="shared" si="21"/>
        <v>42505.271140000004</v>
      </c>
      <c r="P54" s="174">
        <f t="shared" si="21"/>
        <v>0</v>
      </c>
      <c r="Q54" s="174">
        <f t="shared" si="21"/>
        <v>0</v>
      </c>
      <c r="R54" s="174">
        <f t="shared" si="21"/>
        <v>0</v>
      </c>
      <c r="S54" s="174">
        <f t="shared" si="21"/>
        <v>0</v>
      </c>
      <c r="T54" s="174">
        <f t="shared" si="21"/>
        <v>0</v>
      </c>
      <c r="U54" s="174">
        <f t="shared" si="21"/>
        <v>0</v>
      </c>
      <c r="V54" s="174">
        <f t="shared" si="21"/>
        <v>0</v>
      </c>
    </row>
    <row r="55" spans="1:22" ht="37.5" customHeight="1">
      <c r="A55" s="11">
        <v>44</v>
      </c>
      <c r="B55" s="1" t="s">
        <v>254</v>
      </c>
      <c r="C55" s="171"/>
      <c r="D55" s="171"/>
      <c r="E55" s="174"/>
      <c r="F55" s="174"/>
      <c r="G55" s="172"/>
      <c r="H55" s="172"/>
      <c r="I55" s="174">
        <f>I56+I57+I58+I59</f>
        <v>62192.02114</v>
      </c>
      <c r="J55" s="174">
        <f aca="true" t="shared" si="22" ref="J55:O55">SUM(J56:J59)</f>
        <v>0</v>
      </c>
      <c r="K55" s="174">
        <f t="shared" si="22"/>
        <v>0</v>
      </c>
      <c r="L55" s="179">
        <f t="shared" si="22"/>
        <v>0</v>
      </c>
      <c r="M55" s="174">
        <f t="shared" si="22"/>
        <v>4298.75</v>
      </c>
      <c r="N55" s="174">
        <f t="shared" si="22"/>
        <v>15388</v>
      </c>
      <c r="O55" s="174">
        <f t="shared" si="22"/>
        <v>42505.271140000004</v>
      </c>
      <c r="P55" s="174">
        <f aca="true" t="shared" si="23" ref="P55:V55">SUM(P56:P59)</f>
        <v>0</v>
      </c>
      <c r="Q55" s="174">
        <f t="shared" si="23"/>
        <v>0</v>
      </c>
      <c r="R55" s="174">
        <f t="shared" si="23"/>
        <v>0</v>
      </c>
      <c r="S55" s="174">
        <f t="shared" si="23"/>
        <v>0</v>
      </c>
      <c r="T55" s="174">
        <f t="shared" si="23"/>
        <v>0</v>
      </c>
      <c r="U55" s="174">
        <f t="shared" si="23"/>
        <v>0</v>
      </c>
      <c r="V55" s="174">
        <f t="shared" si="23"/>
        <v>0</v>
      </c>
    </row>
    <row r="56" spans="1:22" ht="15">
      <c r="A56" s="11">
        <v>45</v>
      </c>
      <c r="B56" s="1" t="s">
        <v>3</v>
      </c>
      <c r="C56" s="171"/>
      <c r="D56" s="171"/>
      <c r="E56" s="174"/>
      <c r="F56" s="174"/>
      <c r="G56" s="172"/>
      <c r="H56" s="172"/>
      <c r="I56" s="174">
        <f>J56+K56+L56+M56+N56+O56+P56+Q56+R56+S56+T56+U56+V56</f>
        <v>6205.52114</v>
      </c>
      <c r="J56" s="174"/>
      <c r="K56" s="174"/>
      <c r="L56" s="179"/>
      <c r="M56" s="174">
        <v>4298.75</v>
      </c>
      <c r="N56" s="174">
        <v>461.8</v>
      </c>
      <c r="O56" s="174">
        <f>1412.8+32.17048+0.00066</f>
        <v>1444.9711399999999</v>
      </c>
      <c r="P56" s="176"/>
      <c r="Q56" s="176"/>
      <c r="R56" s="176"/>
      <c r="S56" s="176"/>
      <c r="T56" s="176"/>
      <c r="U56" s="176"/>
      <c r="V56" s="176"/>
    </row>
    <row r="57" spans="1:22" ht="15">
      <c r="A57" s="11">
        <v>46</v>
      </c>
      <c r="B57" s="1" t="s">
        <v>1</v>
      </c>
      <c r="C57" s="171"/>
      <c r="D57" s="171"/>
      <c r="E57" s="174"/>
      <c r="F57" s="174"/>
      <c r="G57" s="172"/>
      <c r="H57" s="172"/>
      <c r="I57" s="174">
        <f>J57+K57+L57+M57+N57+O57+P57+Q57+R57+S57+T57+U57+V57</f>
        <v>0</v>
      </c>
      <c r="J57" s="174"/>
      <c r="K57" s="174"/>
      <c r="L57" s="179"/>
      <c r="M57" s="174"/>
      <c r="N57" s="174"/>
      <c r="O57" s="174"/>
      <c r="P57" s="176"/>
      <c r="Q57" s="176"/>
      <c r="R57" s="176"/>
      <c r="S57" s="176"/>
      <c r="T57" s="176"/>
      <c r="U57" s="176"/>
      <c r="V57" s="176"/>
    </row>
    <row r="58" spans="1:22" ht="15">
      <c r="A58" s="11">
        <v>47</v>
      </c>
      <c r="B58" s="1" t="s">
        <v>2</v>
      </c>
      <c r="C58" s="171"/>
      <c r="D58" s="171"/>
      <c r="E58" s="174"/>
      <c r="F58" s="174"/>
      <c r="G58" s="172"/>
      <c r="H58" s="172"/>
      <c r="I58" s="174">
        <f>J58+K58+L58+M58+N58+O58+P58+Q58+R58+S58+T58+U58+V58</f>
        <v>55986.5</v>
      </c>
      <c r="J58" s="174"/>
      <c r="K58" s="174"/>
      <c r="L58" s="179"/>
      <c r="M58" s="174"/>
      <c r="N58" s="174">
        <v>14926.2</v>
      </c>
      <c r="O58" s="174">
        <v>41060.3</v>
      </c>
      <c r="P58" s="176"/>
      <c r="Q58" s="176"/>
      <c r="R58" s="176"/>
      <c r="S58" s="176"/>
      <c r="T58" s="176"/>
      <c r="U58" s="176"/>
      <c r="V58" s="176"/>
    </row>
    <row r="59" spans="1:22" ht="15">
      <c r="A59" s="11">
        <v>48</v>
      </c>
      <c r="B59" s="1" t="s">
        <v>4</v>
      </c>
      <c r="C59" s="171"/>
      <c r="D59" s="171"/>
      <c r="E59" s="174"/>
      <c r="F59" s="174"/>
      <c r="G59" s="172"/>
      <c r="H59" s="172"/>
      <c r="I59" s="174">
        <f>J59+K59+L59+M59+N59+O59+P59+Q59+R59+S59+T59+U59+V59</f>
        <v>0</v>
      </c>
      <c r="J59" s="174"/>
      <c r="K59" s="174"/>
      <c r="L59" s="179"/>
      <c r="M59" s="174"/>
      <c r="N59" s="174"/>
      <c r="O59" s="174"/>
      <c r="P59" s="176"/>
      <c r="Q59" s="176"/>
      <c r="R59" s="176"/>
      <c r="S59" s="176"/>
      <c r="T59" s="176"/>
      <c r="U59" s="176"/>
      <c r="V59" s="176"/>
    </row>
    <row r="60" spans="1:22" ht="125.25">
      <c r="A60" s="11">
        <v>49</v>
      </c>
      <c r="B60" s="1" t="s">
        <v>284</v>
      </c>
      <c r="C60" s="171" t="s">
        <v>264</v>
      </c>
      <c r="D60" s="171" t="s">
        <v>245</v>
      </c>
      <c r="E60" s="174">
        <v>2954.02</v>
      </c>
      <c r="F60" s="174">
        <v>3433.9</v>
      </c>
      <c r="G60" s="172">
        <v>2019</v>
      </c>
      <c r="H60" s="172">
        <v>2019</v>
      </c>
      <c r="I60" s="174">
        <f>I61</f>
        <v>3433.89534</v>
      </c>
      <c r="J60" s="174">
        <f aca="true" t="shared" si="24" ref="J60:V60">J61</f>
        <v>0</v>
      </c>
      <c r="K60" s="174">
        <f t="shared" si="24"/>
        <v>0</v>
      </c>
      <c r="L60" s="179">
        <f t="shared" si="24"/>
        <v>0</v>
      </c>
      <c r="M60" s="174">
        <f t="shared" si="24"/>
        <v>0</v>
      </c>
      <c r="N60" s="174">
        <f t="shared" si="24"/>
        <v>3338.295</v>
      </c>
      <c r="O60" s="174">
        <f t="shared" si="24"/>
        <v>95.60034</v>
      </c>
      <c r="P60" s="174">
        <f t="shared" si="24"/>
        <v>0</v>
      </c>
      <c r="Q60" s="174">
        <f t="shared" si="24"/>
        <v>0</v>
      </c>
      <c r="R60" s="174">
        <f t="shared" si="24"/>
        <v>0</v>
      </c>
      <c r="S60" s="174">
        <f t="shared" si="24"/>
        <v>0</v>
      </c>
      <c r="T60" s="174">
        <f t="shared" si="24"/>
        <v>0</v>
      </c>
      <c r="U60" s="174">
        <f t="shared" si="24"/>
        <v>0</v>
      </c>
      <c r="V60" s="174">
        <f t="shared" si="24"/>
        <v>0</v>
      </c>
    </row>
    <row r="61" spans="1:22" ht="30.75">
      <c r="A61" s="11">
        <v>50</v>
      </c>
      <c r="B61" s="1" t="s">
        <v>257</v>
      </c>
      <c r="C61" s="171"/>
      <c r="D61" s="171"/>
      <c r="E61" s="174"/>
      <c r="F61" s="174"/>
      <c r="G61" s="172"/>
      <c r="H61" s="172"/>
      <c r="I61" s="174">
        <f>I62+I63+I64+I65</f>
        <v>3433.89534</v>
      </c>
      <c r="J61" s="174">
        <f aca="true" t="shared" si="25" ref="J61:P61">SUM(J62:J65)</f>
        <v>0</v>
      </c>
      <c r="K61" s="174">
        <f t="shared" si="25"/>
        <v>0</v>
      </c>
      <c r="L61" s="179">
        <f t="shared" si="25"/>
        <v>0</v>
      </c>
      <c r="M61" s="174">
        <f t="shared" si="25"/>
        <v>0</v>
      </c>
      <c r="N61" s="174">
        <f t="shared" si="25"/>
        <v>3338.295</v>
      </c>
      <c r="O61" s="174">
        <f t="shared" si="25"/>
        <v>95.60034</v>
      </c>
      <c r="P61" s="174">
        <f t="shared" si="25"/>
        <v>0</v>
      </c>
      <c r="Q61" s="174">
        <f aca="true" t="shared" si="26" ref="Q61:V61">SUM(Q62:Q65)</f>
        <v>0</v>
      </c>
      <c r="R61" s="174">
        <f t="shared" si="26"/>
        <v>0</v>
      </c>
      <c r="S61" s="174">
        <f t="shared" si="26"/>
        <v>0</v>
      </c>
      <c r="T61" s="174">
        <f t="shared" si="26"/>
        <v>0</v>
      </c>
      <c r="U61" s="174">
        <f t="shared" si="26"/>
        <v>0</v>
      </c>
      <c r="V61" s="174">
        <f t="shared" si="26"/>
        <v>0</v>
      </c>
    </row>
    <row r="62" spans="1:22" ht="15">
      <c r="A62" s="11">
        <v>51</v>
      </c>
      <c r="B62" s="1" t="s">
        <v>3</v>
      </c>
      <c r="C62" s="171"/>
      <c r="D62" s="171"/>
      <c r="E62" s="174"/>
      <c r="F62" s="174"/>
      <c r="G62" s="172"/>
      <c r="H62" s="172"/>
      <c r="I62" s="174">
        <f>J62+K62+L62+M62+N62+O62+P62+Q62+R62+S62+T62+U62+V62</f>
        <v>674.59534</v>
      </c>
      <c r="J62" s="174"/>
      <c r="K62" s="174"/>
      <c r="L62" s="179"/>
      <c r="M62" s="174"/>
      <c r="N62" s="174">
        <v>578.995</v>
      </c>
      <c r="O62" s="174">
        <f>95.601-0.00066</f>
        <v>95.60034</v>
      </c>
      <c r="P62" s="176"/>
      <c r="Q62" s="176"/>
      <c r="R62" s="176"/>
      <c r="S62" s="176"/>
      <c r="T62" s="176"/>
      <c r="U62" s="176"/>
      <c r="V62" s="176"/>
    </row>
    <row r="63" spans="1:22" ht="15">
      <c r="A63" s="11">
        <v>52</v>
      </c>
      <c r="B63" s="1" t="s">
        <v>1</v>
      </c>
      <c r="C63" s="171"/>
      <c r="D63" s="171"/>
      <c r="E63" s="174"/>
      <c r="F63" s="174"/>
      <c r="G63" s="172"/>
      <c r="H63" s="172"/>
      <c r="I63" s="174">
        <f>J63+K63+L63+M63+N63+O63+P63+Q63+R63+S63+T63+U63+V63</f>
        <v>0</v>
      </c>
      <c r="J63" s="174"/>
      <c r="K63" s="174"/>
      <c r="L63" s="179"/>
      <c r="M63" s="174"/>
      <c r="N63" s="174"/>
      <c r="O63" s="174"/>
      <c r="P63" s="176"/>
      <c r="Q63" s="176"/>
      <c r="R63" s="176"/>
      <c r="S63" s="176"/>
      <c r="T63" s="176"/>
      <c r="U63" s="176"/>
      <c r="V63" s="176"/>
    </row>
    <row r="64" spans="1:22" ht="15">
      <c r="A64" s="11">
        <v>53</v>
      </c>
      <c r="B64" s="1" t="s">
        <v>2</v>
      </c>
      <c r="C64" s="171"/>
      <c r="D64" s="171"/>
      <c r="E64" s="174"/>
      <c r="F64" s="174"/>
      <c r="G64" s="172"/>
      <c r="H64" s="172"/>
      <c r="I64" s="174">
        <f>J64+K64+L64+M64+N64+O64+P64+Q64+R64+S64+T64+U64+V64</f>
        <v>2759.3</v>
      </c>
      <c r="J64" s="174"/>
      <c r="K64" s="174"/>
      <c r="L64" s="179"/>
      <c r="M64" s="174"/>
      <c r="N64" s="174">
        <v>2759.3</v>
      </c>
      <c r="O64" s="174"/>
      <c r="P64" s="176"/>
      <c r="Q64" s="176"/>
      <c r="R64" s="176"/>
      <c r="S64" s="176"/>
      <c r="T64" s="176"/>
      <c r="U64" s="176"/>
      <c r="V64" s="176"/>
    </row>
    <row r="65" spans="1:22" ht="15">
      <c r="A65" s="11">
        <v>54</v>
      </c>
      <c r="B65" s="1" t="s">
        <v>4</v>
      </c>
      <c r="C65" s="171"/>
      <c r="D65" s="171"/>
      <c r="E65" s="174"/>
      <c r="F65" s="174"/>
      <c r="G65" s="172"/>
      <c r="H65" s="172"/>
      <c r="I65" s="174">
        <f>J65+K65+L65+M65+N65+O65+P65+Q65+R65+S65+T65+U65+V65</f>
        <v>0</v>
      </c>
      <c r="J65" s="174"/>
      <c r="K65" s="174"/>
      <c r="L65" s="179"/>
      <c r="M65" s="174"/>
      <c r="N65" s="174"/>
      <c r="O65" s="174"/>
      <c r="P65" s="176"/>
      <c r="Q65" s="176"/>
      <c r="R65" s="176"/>
      <c r="S65" s="176"/>
      <c r="T65" s="176"/>
      <c r="U65" s="176"/>
      <c r="V65" s="176"/>
    </row>
    <row r="66" spans="1:22" ht="61.5" customHeight="1">
      <c r="A66" s="11">
        <v>55</v>
      </c>
      <c r="B66" s="1" t="s">
        <v>285</v>
      </c>
      <c r="C66" s="171" t="s">
        <v>259</v>
      </c>
      <c r="D66" s="171" t="s">
        <v>245</v>
      </c>
      <c r="E66" s="174"/>
      <c r="F66" s="174"/>
      <c r="G66" s="172">
        <v>2016</v>
      </c>
      <c r="H66" s="172">
        <v>2017</v>
      </c>
      <c r="I66" s="174">
        <f>I67</f>
        <v>51654.06</v>
      </c>
      <c r="J66" s="174">
        <f aca="true" t="shared" si="27" ref="J66:V66">J67</f>
        <v>0</v>
      </c>
      <c r="K66" s="174">
        <f t="shared" si="27"/>
        <v>51654.06</v>
      </c>
      <c r="L66" s="179">
        <f t="shared" si="27"/>
        <v>0</v>
      </c>
      <c r="M66" s="174">
        <f t="shared" si="27"/>
        <v>0</v>
      </c>
      <c r="N66" s="174">
        <f t="shared" si="27"/>
        <v>0</v>
      </c>
      <c r="O66" s="174">
        <f t="shared" si="27"/>
        <v>0</v>
      </c>
      <c r="P66" s="174">
        <f t="shared" si="27"/>
        <v>0</v>
      </c>
      <c r="Q66" s="174">
        <f t="shared" si="27"/>
        <v>0</v>
      </c>
      <c r="R66" s="174">
        <f t="shared" si="27"/>
        <v>0</v>
      </c>
      <c r="S66" s="174">
        <f t="shared" si="27"/>
        <v>0</v>
      </c>
      <c r="T66" s="174">
        <f t="shared" si="27"/>
        <v>0</v>
      </c>
      <c r="U66" s="174">
        <f t="shared" si="27"/>
        <v>0</v>
      </c>
      <c r="V66" s="174">
        <f t="shared" si="27"/>
        <v>0</v>
      </c>
    </row>
    <row r="67" spans="1:22" ht="61.5" customHeight="1">
      <c r="A67" s="11">
        <v>56</v>
      </c>
      <c r="B67" s="1" t="s">
        <v>258</v>
      </c>
      <c r="C67" s="171"/>
      <c r="D67" s="171"/>
      <c r="E67" s="174"/>
      <c r="F67" s="174"/>
      <c r="G67" s="172"/>
      <c r="H67" s="172"/>
      <c r="I67" s="174">
        <f>I68+I69+I70+I71</f>
        <v>51654.06</v>
      </c>
      <c r="J67" s="174">
        <f aca="true" t="shared" si="28" ref="J67:O67">SUM(J68:J71)</f>
        <v>0</v>
      </c>
      <c r="K67" s="174">
        <f t="shared" si="28"/>
        <v>51654.06</v>
      </c>
      <c r="L67" s="179">
        <f t="shared" si="28"/>
        <v>0</v>
      </c>
      <c r="M67" s="174">
        <f t="shared" si="28"/>
        <v>0</v>
      </c>
      <c r="N67" s="174">
        <f t="shared" si="28"/>
        <v>0</v>
      </c>
      <c r="O67" s="174">
        <f t="shared" si="28"/>
        <v>0</v>
      </c>
      <c r="P67" s="174">
        <f aca="true" t="shared" si="29" ref="P67:V67">SUM(P68:P71)</f>
        <v>0</v>
      </c>
      <c r="Q67" s="174">
        <f t="shared" si="29"/>
        <v>0</v>
      </c>
      <c r="R67" s="174">
        <f t="shared" si="29"/>
        <v>0</v>
      </c>
      <c r="S67" s="174">
        <f t="shared" si="29"/>
        <v>0</v>
      </c>
      <c r="T67" s="174">
        <f t="shared" si="29"/>
        <v>0</v>
      </c>
      <c r="U67" s="174">
        <f t="shared" si="29"/>
        <v>0</v>
      </c>
      <c r="V67" s="174">
        <f t="shared" si="29"/>
        <v>0</v>
      </c>
    </row>
    <row r="68" spans="1:22" ht="15">
      <c r="A68" s="11">
        <v>57</v>
      </c>
      <c r="B68" s="1" t="s">
        <v>3</v>
      </c>
      <c r="C68" s="171"/>
      <c r="D68" s="171"/>
      <c r="E68" s="174"/>
      <c r="F68" s="174"/>
      <c r="G68" s="172"/>
      <c r="H68" s="172"/>
      <c r="I68" s="174">
        <f>J68+K68+L68+M68+N68+O68+P68+Q68+R68+S68+T68+U68+V68</f>
        <v>6253.96</v>
      </c>
      <c r="J68" s="174"/>
      <c r="K68" s="174">
        <v>6253.96</v>
      </c>
      <c r="L68" s="179"/>
      <c r="M68" s="174"/>
      <c r="N68" s="174"/>
      <c r="O68" s="174"/>
      <c r="P68" s="176"/>
      <c r="Q68" s="176"/>
      <c r="R68" s="176"/>
      <c r="S68" s="176"/>
      <c r="T68" s="176"/>
      <c r="U68" s="176"/>
      <c r="V68" s="176"/>
    </row>
    <row r="69" spans="1:22" ht="15">
      <c r="A69" s="11">
        <v>58</v>
      </c>
      <c r="B69" s="1" t="s">
        <v>1</v>
      </c>
      <c r="C69" s="171"/>
      <c r="D69" s="171"/>
      <c r="E69" s="174"/>
      <c r="F69" s="174"/>
      <c r="G69" s="172"/>
      <c r="H69" s="172"/>
      <c r="I69" s="174">
        <f>J69+K69+L69+M69+N69+O69+P69+Q69+R69+S69+T69+U69+V69</f>
        <v>10404.1</v>
      </c>
      <c r="J69" s="174"/>
      <c r="K69" s="174">
        <v>10404.1</v>
      </c>
      <c r="L69" s="179"/>
      <c r="M69" s="174"/>
      <c r="N69" s="174"/>
      <c r="O69" s="174"/>
      <c r="P69" s="176"/>
      <c r="Q69" s="176"/>
      <c r="R69" s="176"/>
      <c r="S69" s="176"/>
      <c r="T69" s="176"/>
      <c r="U69" s="176"/>
      <c r="V69" s="176"/>
    </row>
    <row r="70" spans="1:22" ht="15">
      <c r="A70" s="11">
        <v>59</v>
      </c>
      <c r="B70" s="1" t="s">
        <v>2</v>
      </c>
      <c r="C70" s="171"/>
      <c r="D70" s="171"/>
      <c r="E70" s="174"/>
      <c r="F70" s="174"/>
      <c r="G70" s="172"/>
      <c r="H70" s="172"/>
      <c r="I70" s="174">
        <f>J70+K70+L70+M70+N70+O70+P70+Q70+R70+S70+T70+U70+V70</f>
        <v>34996</v>
      </c>
      <c r="J70" s="174"/>
      <c r="K70" s="174">
        <v>34996</v>
      </c>
      <c r="L70" s="179"/>
      <c r="M70" s="174"/>
      <c r="N70" s="174"/>
      <c r="O70" s="174"/>
      <c r="P70" s="176"/>
      <c r="Q70" s="176"/>
      <c r="R70" s="176"/>
      <c r="S70" s="176"/>
      <c r="T70" s="176"/>
      <c r="U70" s="176"/>
      <c r="V70" s="176"/>
    </row>
    <row r="71" spans="1:22" ht="15">
      <c r="A71" s="11">
        <v>60</v>
      </c>
      <c r="B71" s="1" t="s">
        <v>4</v>
      </c>
      <c r="C71" s="171"/>
      <c r="D71" s="171"/>
      <c r="E71" s="174"/>
      <c r="F71" s="174"/>
      <c r="G71" s="172"/>
      <c r="H71" s="172"/>
      <c r="I71" s="174">
        <f>J71+K71+L71+M71+N71+O71+P71+Q71+R71+S71+T71+U71+V71</f>
        <v>0</v>
      </c>
      <c r="J71" s="174"/>
      <c r="K71" s="174"/>
      <c r="L71" s="179"/>
      <c r="M71" s="174"/>
      <c r="N71" s="174"/>
      <c r="O71" s="174"/>
      <c r="P71" s="176"/>
      <c r="Q71" s="176"/>
      <c r="R71" s="176"/>
      <c r="S71" s="176"/>
      <c r="T71" s="176"/>
      <c r="U71" s="176"/>
      <c r="V71" s="176"/>
    </row>
    <row r="72" spans="1:22" ht="99.75" customHeight="1">
      <c r="A72" s="11">
        <v>61</v>
      </c>
      <c r="B72" s="1" t="s">
        <v>286</v>
      </c>
      <c r="C72" s="171"/>
      <c r="D72" s="171" t="s">
        <v>245</v>
      </c>
      <c r="E72" s="174"/>
      <c r="F72" s="174">
        <v>215552.81</v>
      </c>
      <c r="G72" s="172">
        <v>2019</v>
      </c>
      <c r="H72" s="172">
        <v>2021</v>
      </c>
      <c r="I72" s="174">
        <f>I73</f>
        <v>216433.3822</v>
      </c>
      <c r="J72" s="174">
        <f aca="true" t="shared" si="30" ref="J72:V72">J73</f>
        <v>0</v>
      </c>
      <c r="K72" s="174">
        <f t="shared" si="30"/>
        <v>0</v>
      </c>
      <c r="L72" s="179">
        <f t="shared" si="30"/>
        <v>5776</v>
      </c>
      <c r="M72" s="174">
        <f t="shared" si="30"/>
        <v>0</v>
      </c>
      <c r="N72" s="174">
        <f t="shared" si="30"/>
        <v>110399.7975</v>
      </c>
      <c r="O72" s="174">
        <f t="shared" si="30"/>
        <v>99377.0147</v>
      </c>
      <c r="P72" s="174">
        <f t="shared" si="30"/>
        <v>880.57</v>
      </c>
      <c r="Q72" s="174">
        <f t="shared" si="30"/>
        <v>0</v>
      </c>
      <c r="R72" s="174">
        <f t="shared" si="30"/>
        <v>0</v>
      </c>
      <c r="S72" s="174">
        <f t="shared" si="30"/>
        <v>0</v>
      </c>
      <c r="T72" s="174">
        <f t="shared" si="30"/>
        <v>0</v>
      </c>
      <c r="U72" s="174">
        <f t="shared" si="30"/>
        <v>0</v>
      </c>
      <c r="V72" s="174">
        <f t="shared" si="30"/>
        <v>0</v>
      </c>
    </row>
    <row r="73" spans="1:22" ht="35.25" customHeight="1">
      <c r="A73" s="11">
        <v>62</v>
      </c>
      <c r="B73" s="1" t="s">
        <v>260</v>
      </c>
      <c r="C73" s="171"/>
      <c r="D73" s="171"/>
      <c r="E73" s="174"/>
      <c r="F73" s="174"/>
      <c r="G73" s="172"/>
      <c r="H73" s="172"/>
      <c r="I73" s="174">
        <f>I74+I75+I76+I77</f>
        <v>216433.3822</v>
      </c>
      <c r="J73" s="174">
        <f aca="true" t="shared" si="31" ref="J73:O73">SUM(J74:J77)</f>
        <v>0</v>
      </c>
      <c r="K73" s="174">
        <f>SUM(K74:K77)</f>
        <v>0</v>
      </c>
      <c r="L73" s="179">
        <f t="shared" si="31"/>
        <v>5776</v>
      </c>
      <c r="M73" s="174">
        <f t="shared" si="31"/>
        <v>0</v>
      </c>
      <c r="N73" s="174">
        <f t="shared" si="31"/>
        <v>110399.7975</v>
      </c>
      <c r="O73" s="174">
        <f t="shared" si="31"/>
        <v>99377.0147</v>
      </c>
      <c r="P73" s="174">
        <f aca="true" t="shared" si="32" ref="P73:V73">SUM(P74:P77)</f>
        <v>880.57</v>
      </c>
      <c r="Q73" s="174">
        <f t="shared" si="32"/>
        <v>0</v>
      </c>
      <c r="R73" s="174">
        <f t="shared" si="32"/>
        <v>0</v>
      </c>
      <c r="S73" s="174">
        <f t="shared" si="32"/>
        <v>0</v>
      </c>
      <c r="T73" s="174">
        <f t="shared" si="32"/>
        <v>0</v>
      </c>
      <c r="U73" s="174">
        <f t="shared" si="32"/>
        <v>0</v>
      </c>
      <c r="V73" s="174">
        <f t="shared" si="32"/>
        <v>0</v>
      </c>
    </row>
    <row r="74" spans="1:22" ht="15">
      <c r="A74" s="11">
        <v>63</v>
      </c>
      <c r="B74" s="1" t="s">
        <v>3</v>
      </c>
      <c r="C74" s="171"/>
      <c r="D74" s="171"/>
      <c r="E74" s="174"/>
      <c r="F74" s="174"/>
      <c r="G74" s="172"/>
      <c r="H74" s="172"/>
      <c r="I74" s="174">
        <f>J74+K74+L74+M74+N74+O74+P74+Q74+R74+S74+T74+U74+V74</f>
        <v>13094.929999999998</v>
      </c>
      <c r="J74" s="174"/>
      <c r="K74" s="174"/>
      <c r="L74" s="179">
        <v>5776</v>
      </c>
      <c r="M74" s="174"/>
      <c r="N74" s="174">
        <f>3332.62+25</f>
        <v>3357.62</v>
      </c>
      <c r="O74" s="174">
        <f>2978.24+42.5+60</f>
        <v>3080.74</v>
      </c>
      <c r="P74" s="174">
        <v>880.57</v>
      </c>
      <c r="Q74" s="176"/>
      <c r="R74" s="176"/>
      <c r="S74" s="176"/>
      <c r="T74" s="176"/>
      <c r="U74" s="176"/>
      <c r="V74" s="176"/>
    </row>
    <row r="75" spans="1:22" ht="15">
      <c r="A75" s="11">
        <v>64</v>
      </c>
      <c r="B75" s="1" t="s">
        <v>1</v>
      </c>
      <c r="C75" s="171"/>
      <c r="D75" s="171"/>
      <c r="E75" s="174"/>
      <c r="F75" s="174"/>
      <c r="G75" s="172"/>
      <c r="H75" s="172"/>
      <c r="I75" s="174">
        <f>J75+K75+L75+M75+N75+O75+P75+Q75+R75+S75+T75+U75+V75</f>
        <v>0</v>
      </c>
      <c r="J75" s="174"/>
      <c r="K75" s="174"/>
      <c r="L75" s="179"/>
      <c r="M75" s="174"/>
      <c r="N75" s="174"/>
      <c r="O75" s="174"/>
      <c r="P75" s="176"/>
      <c r="Q75" s="176"/>
      <c r="R75" s="176"/>
      <c r="S75" s="176"/>
      <c r="T75" s="176"/>
      <c r="U75" s="176"/>
      <c r="V75" s="176"/>
    </row>
    <row r="76" spans="1:22" ht="15">
      <c r="A76" s="11">
        <v>65</v>
      </c>
      <c r="B76" s="1" t="s">
        <v>2</v>
      </c>
      <c r="C76" s="171"/>
      <c r="D76" s="171"/>
      <c r="E76" s="174"/>
      <c r="F76" s="174"/>
      <c r="G76" s="172"/>
      <c r="H76" s="172"/>
      <c r="I76" s="174">
        <f>J76+K76+L76+M76+N76+O76+P76+Q76+R76+S76+T76+U76+V76</f>
        <v>203338.4522</v>
      </c>
      <c r="J76" s="174"/>
      <c r="K76" s="174"/>
      <c r="L76" s="179"/>
      <c r="M76" s="174"/>
      <c r="N76" s="174">
        <v>107042.1775</v>
      </c>
      <c r="O76" s="174">
        <v>96296.2747</v>
      </c>
      <c r="P76" s="176"/>
      <c r="Q76" s="176"/>
      <c r="R76" s="176"/>
      <c r="S76" s="176"/>
      <c r="T76" s="176"/>
      <c r="U76" s="176"/>
      <c r="V76" s="176"/>
    </row>
    <row r="77" spans="1:22" ht="15">
      <c r="A77" s="11">
        <v>66</v>
      </c>
      <c r="B77" s="1" t="s">
        <v>4</v>
      </c>
      <c r="C77" s="171"/>
      <c r="D77" s="171"/>
      <c r="E77" s="174"/>
      <c r="F77" s="174"/>
      <c r="G77" s="172"/>
      <c r="H77" s="172"/>
      <c r="I77" s="174">
        <f>J77+K77+L77+M77+N77+O77+P77+Q77+R77+S77+T77+U77+V77</f>
        <v>0</v>
      </c>
      <c r="J77" s="174"/>
      <c r="K77" s="174"/>
      <c r="L77" s="179"/>
      <c r="M77" s="174"/>
      <c r="N77" s="174"/>
      <c r="O77" s="174"/>
      <c r="P77" s="176"/>
      <c r="Q77" s="176"/>
      <c r="R77" s="176"/>
      <c r="S77" s="176"/>
      <c r="T77" s="176"/>
      <c r="U77" s="176"/>
      <c r="V77" s="176"/>
    </row>
    <row r="78" spans="1:22" ht="62.25">
      <c r="A78" s="11">
        <v>67</v>
      </c>
      <c r="B78" s="1" t="s">
        <v>336</v>
      </c>
      <c r="C78" s="171" t="s">
        <v>262</v>
      </c>
      <c r="D78" s="171" t="s">
        <v>245</v>
      </c>
      <c r="E78" s="174">
        <v>214364.61</v>
      </c>
      <c r="F78" s="174"/>
      <c r="G78" s="172">
        <v>2021</v>
      </c>
      <c r="H78" s="172">
        <v>2022</v>
      </c>
      <c r="I78" s="174">
        <f>I79</f>
        <v>283930.222</v>
      </c>
      <c r="J78" s="174">
        <f aca="true" t="shared" si="33" ref="J78:V78">J79</f>
        <v>0</v>
      </c>
      <c r="K78" s="174">
        <f t="shared" si="33"/>
        <v>0</v>
      </c>
      <c r="L78" s="179">
        <f t="shared" si="33"/>
        <v>0</v>
      </c>
      <c r="M78" s="174">
        <f t="shared" si="33"/>
        <v>2130.85</v>
      </c>
      <c r="N78" s="174">
        <f t="shared" si="33"/>
        <v>25</v>
      </c>
      <c r="O78" s="174">
        <f t="shared" si="33"/>
        <v>1180</v>
      </c>
      <c r="P78" s="174">
        <f t="shared" si="33"/>
        <v>17887.97</v>
      </c>
      <c r="Q78" s="174">
        <f t="shared" si="33"/>
        <v>143203</v>
      </c>
      <c r="R78" s="174">
        <f t="shared" si="33"/>
        <v>119503.402</v>
      </c>
      <c r="S78" s="174">
        <f t="shared" si="33"/>
        <v>0</v>
      </c>
      <c r="T78" s="174">
        <f t="shared" si="33"/>
        <v>0</v>
      </c>
      <c r="U78" s="174">
        <f t="shared" si="33"/>
        <v>0</v>
      </c>
      <c r="V78" s="174">
        <f t="shared" si="33"/>
        <v>0</v>
      </c>
    </row>
    <row r="79" spans="1:22" ht="30.75">
      <c r="A79" s="11">
        <v>68</v>
      </c>
      <c r="B79" s="1" t="s">
        <v>261</v>
      </c>
      <c r="C79" s="171"/>
      <c r="D79" s="171"/>
      <c r="E79" s="171"/>
      <c r="F79" s="171"/>
      <c r="G79" s="172"/>
      <c r="H79" s="172"/>
      <c r="I79" s="174">
        <f>I80+I81+I82+I83</f>
        <v>283930.222</v>
      </c>
      <c r="J79" s="174">
        <f aca="true" t="shared" si="34" ref="J79:P79">SUM(J80:J83)</f>
        <v>0</v>
      </c>
      <c r="K79" s="174">
        <f t="shared" si="34"/>
        <v>0</v>
      </c>
      <c r="L79" s="179">
        <f t="shared" si="34"/>
        <v>0</v>
      </c>
      <c r="M79" s="174">
        <f t="shared" si="34"/>
        <v>2130.85</v>
      </c>
      <c r="N79" s="174">
        <f t="shared" si="34"/>
        <v>25</v>
      </c>
      <c r="O79" s="174">
        <f t="shared" si="34"/>
        <v>1180</v>
      </c>
      <c r="P79" s="174">
        <f t="shared" si="34"/>
        <v>17887.97</v>
      </c>
      <c r="Q79" s="174">
        <f aca="true" t="shared" si="35" ref="Q79:V79">SUM(Q80:Q83)</f>
        <v>143203</v>
      </c>
      <c r="R79" s="174">
        <f t="shared" si="35"/>
        <v>119503.402</v>
      </c>
      <c r="S79" s="174">
        <f t="shared" si="35"/>
        <v>0</v>
      </c>
      <c r="T79" s="174">
        <f t="shared" si="35"/>
        <v>0</v>
      </c>
      <c r="U79" s="174">
        <f t="shared" si="35"/>
        <v>0</v>
      </c>
      <c r="V79" s="174">
        <f t="shared" si="35"/>
        <v>0</v>
      </c>
    </row>
    <row r="80" spans="1:22" ht="15">
      <c r="A80" s="11">
        <v>69</v>
      </c>
      <c r="B80" s="1" t="s">
        <v>3</v>
      </c>
      <c r="C80" s="171"/>
      <c r="D80" s="171"/>
      <c r="E80" s="171"/>
      <c r="F80" s="171"/>
      <c r="G80" s="172"/>
      <c r="H80" s="172"/>
      <c r="I80" s="174">
        <f>J80+K80+L80+M80+N80+O80+P80+Q80+R80+S80+T80+U80+V80</f>
        <v>88620.022</v>
      </c>
      <c r="J80" s="174"/>
      <c r="K80" s="174"/>
      <c r="L80" s="179"/>
      <c r="M80" s="174">
        <v>2130.85</v>
      </c>
      <c r="N80" s="174">
        <v>25</v>
      </c>
      <c r="O80" s="174">
        <f>1025+155</f>
        <v>1180</v>
      </c>
      <c r="P80" s="174">
        <v>14226.17</v>
      </c>
      <c r="Q80" s="174">
        <v>9986.4</v>
      </c>
      <c r="R80" s="174">
        <v>61071.602</v>
      </c>
      <c r="S80" s="174"/>
      <c r="T80" s="174"/>
      <c r="U80" s="174"/>
      <c r="V80" s="174"/>
    </row>
    <row r="81" spans="1:22" ht="15">
      <c r="A81" s="11">
        <v>70</v>
      </c>
      <c r="B81" s="1" t="s">
        <v>1</v>
      </c>
      <c r="C81" s="171"/>
      <c r="D81" s="171"/>
      <c r="E81" s="171"/>
      <c r="F81" s="171"/>
      <c r="G81" s="172"/>
      <c r="H81" s="172"/>
      <c r="I81" s="174">
        <f>J81+K81+L81+M81+N81+O81+P81+Q81+R81+S81+T81+U81+V81</f>
        <v>0</v>
      </c>
      <c r="J81" s="174"/>
      <c r="K81" s="174"/>
      <c r="L81" s="179"/>
      <c r="M81" s="174"/>
      <c r="N81" s="174"/>
      <c r="O81" s="174"/>
      <c r="P81" s="176"/>
      <c r="Q81" s="176"/>
      <c r="R81" s="176"/>
      <c r="S81" s="176"/>
      <c r="T81" s="176"/>
      <c r="U81" s="176"/>
      <c r="V81" s="176"/>
    </row>
    <row r="82" spans="1:22" ht="15">
      <c r="A82" s="11">
        <v>71</v>
      </c>
      <c r="B82" s="1" t="s">
        <v>2</v>
      </c>
      <c r="C82" s="171"/>
      <c r="D82" s="171"/>
      <c r="E82" s="171"/>
      <c r="F82" s="171"/>
      <c r="G82" s="172"/>
      <c r="H82" s="172"/>
      <c r="I82" s="174">
        <f>J82+K82+L82+M82+N82+O82+P82+Q82+R82+S82+T82+U82+V82</f>
        <v>195310.2</v>
      </c>
      <c r="J82" s="174"/>
      <c r="K82" s="174"/>
      <c r="L82" s="179"/>
      <c r="M82" s="174"/>
      <c r="N82" s="174"/>
      <c r="O82" s="174"/>
      <c r="P82" s="174">
        <v>3661.8</v>
      </c>
      <c r="Q82" s="174">
        <v>133216.6</v>
      </c>
      <c r="R82" s="174">
        <v>58431.8</v>
      </c>
      <c r="S82" s="174"/>
      <c r="T82" s="174"/>
      <c r="U82" s="174"/>
      <c r="V82" s="174"/>
    </row>
    <row r="83" spans="1:22" ht="15">
      <c r="A83" s="11">
        <v>72</v>
      </c>
      <c r="B83" s="1" t="s">
        <v>4</v>
      </c>
      <c r="C83" s="171"/>
      <c r="D83" s="171"/>
      <c r="E83" s="171"/>
      <c r="F83" s="171"/>
      <c r="G83" s="172"/>
      <c r="H83" s="172"/>
      <c r="I83" s="174">
        <f>J83+K83+L83+M83+N83+O83+P83+Q83+R83+S83+T83+U83+V83</f>
        <v>0</v>
      </c>
      <c r="J83" s="174"/>
      <c r="K83" s="174"/>
      <c r="L83" s="179"/>
      <c r="M83" s="174"/>
      <c r="N83" s="174"/>
      <c r="O83" s="174"/>
      <c r="P83" s="174">
        <v>0</v>
      </c>
      <c r="Q83" s="174"/>
      <c r="R83" s="174"/>
      <c r="S83" s="176"/>
      <c r="T83" s="176"/>
      <c r="U83" s="176"/>
      <c r="V83" s="176"/>
    </row>
    <row r="84" spans="1:22" ht="46.5">
      <c r="A84" s="11">
        <v>73</v>
      </c>
      <c r="B84" s="1" t="s">
        <v>337</v>
      </c>
      <c r="C84" s="171" t="s">
        <v>305</v>
      </c>
      <c r="D84" s="171" t="s">
        <v>245</v>
      </c>
      <c r="E84" s="174"/>
      <c r="F84" s="174"/>
      <c r="G84" s="172"/>
      <c r="H84" s="172"/>
      <c r="I84" s="174">
        <f>I85</f>
        <v>0</v>
      </c>
      <c r="J84" s="174">
        <f aca="true" t="shared" si="36" ref="J84:V84">J85</f>
        <v>0</v>
      </c>
      <c r="K84" s="174">
        <f t="shared" si="36"/>
        <v>0</v>
      </c>
      <c r="L84" s="179">
        <f t="shared" si="36"/>
        <v>0</v>
      </c>
      <c r="M84" s="174">
        <f t="shared" si="36"/>
        <v>0</v>
      </c>
      <c r="N84" s="174">
        <f t="shared" si="36"/>
        <v>0</v>
      </c>
      <c r="O84" s="174">
        <f t="shared" si="36"/>
        <v>0</v>
      </c>
      <c r="P84" s="174">
        <f t="shared" si="36"/>
        <v>0</v>
      </c>
      <c r="Q84" s="174">
        <f t="shared" si="36"/>
        <v>0</v>
      </c>
      <c r="R84" s="174">
        <f t="shared" si="36"/>
        <v>0</v>
      </c>
      <c r="S84" s="174">
        <f t="shared" si="36"/>
        <v>0</v>
      </c>
      <c r="T84" s="174">
        <f t="shared" si="36"/>
        <v>0</v>
      </c>
      <c r="U84" s="174">
        <f t="shared" si="36"/>
        <v>0</v>
      </c>
      <c r="V84" s="174">
        <f t="shared" si="36"/>
        <v>0</v>
      </c>
    </row>
    <row r="85" spans="1:22" ht="30.75">
      <c r="A85" s="11">
        <v>74</v>
      </c>
      <c r="B85" s="1" t="s">
        <v>315</v>
      </c>
      <c r="C85" s="171"/>
      <c r="D85" s="171"/>
      <c r="E85" s="171"/>
      <c r="F85" s="171"/>
      <c r="G85" s="172"/>
      <c r="H85" s="172"/>
      <c r="I85" s="174">
        <f>I86+I87+I88+I89</f>
        <v>0</v>
      </c>
      <c r="J85" s="174">
        <f aca="true" t="shared" si="37" ref="J85:P85">SUM(J86:J89)</f>
        <v>0</v>
      </c>
      <c r="K85" s="174">
        <f t="shared" si="37"/>
        <v>0</v>
      </c>
      <c r="L85" s="179">
        <f t="shared" si="37"/>
        <v>0</v>
      </c>
      <c r="M85" s="174">
        <f t="shared" si="37"/>
        <v>0</v>
      </c>
      <c r="N85" s="174">
        <f t="shared" si="37"/>
        <v>0</v>
      </c>
      <c r="O85" s="174">
        <f t="shared" si="37"/>
        <v>0</v>
      </c>
      <c r="P85" s="174">
        <f t="shared" si="37"/>
        <v>0</v>
      </c>
      <c r="Q85" s="174">
        <f aca="true" t="shared" si="38" ref="Q85:V85">SUM(Q86:Q89)</f>
        <v>0</v>
      </c>
      <c r="R85" s="174">
        <f t="shared" si="38"/>
        <v>0</v>
      </c>
      <c r="S85" s="174">
        <f t="shared" si="38"/>
        <v>0</v>
      </c>
      <c r="T85" s="174">
        <f t="shared" si="38"/>
        <v>0</v>
      </c>
      <c r="U85" s="174">
        <f t="shared" si="38"/>
        <v>0</v>
      </c>
      <c r="V85" s="174">
        <f t="shared" si="38"/>
        <v>0</v>
      </c>
    </row>
    <row r="86" spans="1:22" ht="15">
      <c r="A86" s="11">
        <v>75</v>
      </c>
      <c r="B86" s="1" t="s">
        <v>3</v>
      </c>
      <c r="C86" s="171"/>
      <c r="D86" s="171"/>
      <c r="E86" s="171"/>
      <c r="F86" s="171"/>
      <c r="G86" s="172"/>
      <c r="H86" s="172"/>
      <c r="I86" s="174">
        <f>J86+K86+L86+M86+N86+O86+P86+Q86+R86+S86+T86+U86+V86</f>
        <v>0</v>
      </c>
      <c r="J86" s="174"/>
      <c r="K86" s="174"/>
      <c r="L86" s="179"/>
      <c r="M86" s="174"/>
      <c r="N86" s="174"/>
      <c r="O86" s="174"/>
      <c r="P86" s="174"/>
      <c r="Q86" s="174"/>
      <c r="R86" s="174"/>
      <c r="S86" s="174"/>
      <c r="T86" s="174"/>
      <c r="U86" s="174"/>
      <c r="V86" s="174"/>
    </row>
    <row r="87" spans="1:22" ht="15">
      <c r="A87" s="11">
        <v>76</v>
      </c>
      <c r="B87" s="1" t="s">
        <v>1</v>
      </c>
      <c r="C87" s="171"/>
      <c r="D87" s="171"/>
      <c r="E87" s="171"/>
      <c r="F87" s="171"/>
      <c r="G87" s="172"/>
      <c r="H87" s="172"/>
      <c r="I87" s="174">
        <f>J87+K87+L87+M87+N87+O87+P87+Q87+R87+S87+T87+U87+V87</f>
        <v>0</v>
      </c>
      <c r="J87" s="174"/>
      <c r="K87" s="174"/>
      <c r="L87" s="179"/>
      <c r="M87" s="174"/>
      <c r="N87" s="174"/>
      <c r="O87" s="174"/>
      <c r="P87" s="176"/>
      <c r="Q87" s="176"/>
      <c r="R87" s="176"/>
      <c r="S87" s="176"/>
      <c r="T87" s="176"/>
      <c r="U87" s="176"/>
      <c r="V87" s="176"/>
    </row>
    <row r="88" spans="1:22" ht="15">
      <c r="A88" s="11">
        <v>77</v>
      </c>
      <c r="B88" s="1" t="s">
        <v>2</v>
      </c>
      <c r="C88" s="171"/>
      <c r="D88" s="171"/>
      <c r="E88" s="171"/>
      <c r="F88" s="171"/>
      <c r="G88" s="172"/>
      <c r="H88" s="172"/>
      <c r="I88" s="174">
        <f>J88+K88+L88+M88+N88+O88+P88+Q88+R88+S88+T88+U88+V88</f>
        <v>0</v>
      </c>
      <c r="J88" s="174"/>
      <c r="K88" s="174"/>
      <c r="L88" s="179"/>
      <c r="M88" s="174"/>
      <c r="N88" s="174"/>
      <c r="O88" s="174"/>
      <c r="P88" s="174"/>
      <c r="Q88" s="174"/>
      <c r="R88" s="174"/>
      <c r="S88" s="174"/>
      <c r="T88" s="174"/>
      <c r="U88" s="174"/>
      <c r="V88" s="174"/>
    </row>
    <row r="89" spans="1:22" ht="15">
      <c r="A89" s="11">
        <v>78</v>
      </c>
      <c r="B89" s="1" t="s">
        <v>4</v>
      </c>
      <c r="C89" s="171"/>
      <c r="D89" s="171"/>
      <c r="E89" s="171"/>
      <c r="F89" s="171"/>
      <c r="G89" s="172"/>
      <c r="H89" s="172"/>
      <c r="I89" s="174">
        <f>J89+K89+L89+M89+N89+O89+P89+Q89+R89+S89+T89+U89+V89</f>
        <v>0</v>
      </c>
      <c r="J89" s="174"/>
      <c r="K89" s="174"/>
      <c r="L89" s="179"/>
      <c r="M89" s="174"/>
      <c r="N89" s="174"/>
      <c r="O89" s="174"/>
      <c r="P89" s="176"/>
      <c r="Q89" s="176"/>
      <c r="R89" s="176"/>
      <c r="S89" s="176"/>
      <c r="T89" s="176"/>
      <c r="U89" s="176"/>
      <c r="V89" s="176"/>
    </row>
    <row r="90" spans="1:22" ht="156">
      <c r="A90" s="11">
        <v>79</v>
      </c>
      <c r="B90" s="1" t="s">
        <v>338</v>
      </c>
      <c r="C90" s="171" t="s">
        <v>339</v>
      </c>
      <c r="D90" s="171"/>
      <c r="E90" s="174"/>
      <c r="F90" s="174"/>
      <c r="G90" s="172">
        <v>2020</v>
      </c>
      <c r="H90" s="172">
        <v>2020</v>
      </c>
      <c r="I90" s="174">
        <f>I91</f>
        <v>42925.611500000006</v>
      </c>
      <c r="J90" s="174">
        <f aca="true" t="shared" si="39" ref="J90:V90">J91</f>
        <v>0</v>
      </c>
      <c r="K90" s="174">
        <f t="shared" si="39"/>
        <v>0</v>
      </c>
      <c r="L90" s="179">
        <f t="shared" si="39"/>
        <v>0</v>
      </c>
      <c r="M90" s="174">
        <f t="shared" si="39"/>
        <v>0</v>
      </c>
      <c r="N90" s="174">
        <f t="shared" si="39"/>
        <v>0</v>
      </c>
      <c r="O90" s="174">
        <f t="shared" si="39"/>
        <v>4158.5115000000005</v>
      </c>
      <c r="P90" s="174">
        <f t="shared" si="39"/>
        <v>38767.100000000006</v>
      </c>
      <c r="Q90" s="174">
        <f t="shared" si="39"/>
        <v>0</v>
      </c>
      <c r="R90" s="174">
        <f t="shared" si="39"/>
        <v>0</v>
      </c>
      <c r="S90" s="174">
        <f t="shared" si="39"/>
        <v>0</v>
      </c>
      <c r="T90" s="174">
        <f t="shared" si="39"/>
        <v>0</v>
      </c>
      <c r="U90" s="174">
        <f t="shared" si="39"/>
        <v>0</v>
      </c>
      <c r="V90" s="174">
        <f t="shared" si="39"/>
        <v>0</v>
      </c>
    </row>
    <row r="91" spans="1:22" ht="30.75">
      <c r="A91" s="11">
        <v>80</v>
      </c>
      <c r="B91" s="1" t="s">
        <v>340</v>
      </c>
      <c r="C91" s="171"/>
      <c r="D91" s="171"/>
      <c r="E91" s="171"/>
      <c r="F91" s="171"/>
      <c r="G91" s="172"/>
      <c r="H91" s="172"/>
      <c r="I91" s="174">
        <f>I92+I93+I94+I95</f>
        <v>42925.611500000006</v>
      </c>
      <c r="J91" s="174">
        <f aca="true" t="shared" si="40" ref="J91:P91">SUM(J92:J95)</f>
        <v>0</v>
      </c>
      <c r="K91" s="174">
        <f t="shared" si="40"/>
        <v>0</v>
      </c>
      <c r="L91" s="179">
        <f t="shared" si="40"/>
        <v>0</v>
      </c>
      <c r="M91" s="174">
        <f t="shared" si="40"/>
        <v>0</v>
      </c>
      <c r="N91" s="174">
        <f t="shared" si="40"/>
        <v>0</v>
      </c>
      <c r="O91" s="174">
        <f t="shared" si="40"/>
        <v>4158.5115000000005</v>
      </c>
      <c r="P91" s="174">
        <f t="shared" si="40"/>
        <v>38767.100000000006</v>
      </c>
      <c r="Q91" s="174">
        <f aca="true" t="shared" si="41" ref="Q91:V91">SUM(Q92:Q95)</f>
        <v>0</v>
      </c>
      <c r="R91" s="174">
        <f t="shared" si="41"/>
        <v>0</v>
      </c>
      <c r="S91" s="174">
        <f t="shared" si="41"/>
        <v>0</v>
      </c>
      <c r="T91" s="174">
        <f t="shared" si="41"/>
        <v>0</v>
      </c>
      <c r="U91" s="174">
        <f t="shared" si="41"/>
        <v>0</v>
      </c>
      <c r="V91" s="174">
        <f t="shared" si="41"/>
        <v>0</v>
      </c>
    </row>
    <row r="92" spans="1:22" ht="15">
      <c r="A92" s="11">
        <v>81</v>
      </c>
      <c r="B92" s="1" t="s">
        <v>3</v>
      </c>
      <c r="C92" s="171"/>
      <c r="D92" s="171"/>
      <c r="E92" s="171"/>
      <c r="F92" s="171"/>
      <c r="G92" s="172"/>
      <c r="H92" s="172"/>
      <c r="I92" s="174">
        <f>J92+K92+L92+M92+N92+O92+P92+Q92+R92+S92+T92+U92+V92</f>
        <v>5347.811500000001</v>
      </c>
      <c r="J92" s="174"/>
      <c r="K92" s="174"/>
      <c r="L92" s="179"/>
      <c r="M92" s="174"/>
      <c r="N92" s="174"/>
      <c r="O92" s="174">
        <f>3780.465+378.0465</f>
        <v>4158.5115000000005</v>
      </c>
      <c r="P92" s="174">
        <v>1189.3</v>
      </c>
      <c r="Q92" s="174"/>
      <c r="R92" s="174"/>
      <c r="S92" s="174"/>
      <c r="T92" s="174"/>
      <c r="U92" s="174"/>
      <c r="V92" s="174"/>
    </row>
    <row r="93" spans="1:22" ht="15">
      <c r="A93" s="11">
        <v>82</v>
      </c>
      <c r="B93" s="1" t="s">
        <v>1</v>
      </c>
      <c r="C93" s="171"/>
      <c r="D93" s="171"/>
      <c r="E93" s="171"/>
      <c r="F93" s="171"/>
      <c r="G93" s="172"/>
      <c r="H93" s="172"/>
      <c r="I93" s="174">
        <f>J93+K93+L93+M93+N93+O93+P93+Q93+R93+S93+T93+U93+V93</f>
        <v>0</v>
      </c>
      <c r="J93" s="174"/>
      <c r="K93" s="174"/>
      <c r="L93" s="179"/>
      <c r="M93" s="174"/>
      <c r="N93" s="174"/>
      <c r="O93" s="174"/>
      <c r="P93" s="176"/>
      <c r="Q93" s="176"/>
      <c r="R93" s="176"/>
      <c r="S93" s="176"/>
      <c r="T93" s="176"/>
      <c r="U93" s="176"/>
      <c r="V93" s="176"/>
    </row>
    <row r="94" spans="1:22" ht="15">
      <c r="A94" s="11">
        <v>83</v>
      </c>
      <c r="B94" s="1" t="s">
        <v>2</v>
      </c>
      <c r="C94" s="171"/>
      <c r="D94" s="171"/>
      <c r="E94" s="171"/>
      <c r="F94" s="171"/>
      <c r="G94" s="172"/>
      <c r="H94" s="172"/>
      <c r="I94" s="174">
        <f>J94+K94+L94+M94+N94+O94+P94+Q94+R94+S94+T94+U94+V94</f>
        <v>37577.8</v>
      </c>
      <c r="J94" s="174"/>
      <c r="K94" s="174"/>
      <c r="L94" s="179"/>
      <c r="M94" s="174"/>
      <c r="N94" s="174"/>
      <c r="O94" s="174"/>
      <c r="P94" s="174">
        <v>37577.8</v>
      </c>
      <c r="Q94" s="174"/>
      <c r="R94" s="174"/>
      <c r="S94" s="174"/>
      <c r="T94" s="174"/>
      <c r="U94" s="174"/>
      <c r="V94" s="174"/>
    </row>
    <row r="95" spans="1:22" ht="15">
      <c r="A95" s="11">
        <v>84</v>
      </c>
      <c r="B95" s="1" t="s">
        <v>4</v>
      </c>
      <c r="C95" s="171"/>
      <c r="D95" s="171"/>
      <c r="E95" s="171"/>
      <c r="F95" s="171"/>
      <c r="G95" s="172"/>
      <c r="H95" s="172"/>
      <c r="I95" s="174">
        <f>J95+K95+L95+M95+N95+O95+P95+Q95+R95+S95+T95+U95+V95</f>
        <v>0</v>
      </c>
      <c r="J95" s="174"/>
      <c r="K95" s="174"/>
      <c r="L95" s="179"/>
      <c r="M95" s="174"/>
      <c r="N95" s="174"/>
      <c r="O95" s="174"/>
      <c r="P95" s="174"/>
      <c r="Q95" s="176"/>
      <c r="R95" s="176"/>
      <c r="S95" s="176"/>
      <c r="T95" s="176"/>
      <c r="U95" s="176"/>
      <c r="V95" s="176"/>
    </row>
    <row r="96" spans="1:22" ht="78">
      <c r="A96" s="11">
        <v>85</v>
      </c>
      <c r="B96" s="1" t="s">
        <v>354</v>
      </c>
      <c r="C96" s="171" t="s">
        <v>355</v>
      </c>
      <c r="D96" s="171"/>
      <c r="E96" s="174"/>
      <c r="F96" s="174"/>
      <c r="G96" s="172">
        <v>2020</v>
      </c>
      <c r="H96" s="172">
        <v>2022</v>
      </c>
      <c r="I96" s="174">
        <f>I97</f>
        <v>136598.99</v>
      </c>
      <c r="J96" s="174">
        <f aca="true" t="shared" si="42" ref="J96:V96">J97</f>
        <v>0</v>
      </c>
      <c r="K96" s="174">
        <f t="shared" si="42"/>
        <v>0</v>
      </c>
      <c r="L96" s="179">
        <f t="shared" si="42"/>
        <v>0</v>
      </c>
      <c r="M96" s="174">
        <f t="shared" si="42"/>
        <v>0</v>
      </c>
      <c r="N96" s="174">
        <f t="shared" si="42"/>
        <v>0</v>
      </c>
      <c r="O96" s="174">
        <f t="shared" si="42"/>
        <v>9172.95</v>
      </c>
      <c r="P96" s="174">
        <f t="shared" si="42"/>
        <v>63953.93</v>
      </c>
      <c r="Q96" s="174">
        <f t="shared" si="42"/>
        <v>63472.11</v>
      </c>
      <c r="R96" s="174">
        <f t="shared" si="42"/>
        <v>0</v>
      </c>
      <c r="S96" s="174">
        <f t="shared" si="42"/>
        <v>0</v>
      </c>
      <c r="T96" s="174">
        <f t="shared" si="42"/>
        <v>0</v>
      </c>
      <c r="U96" s="174">
        <f t="shared" si="42"/>
        <v>0</v>
      </c>
      <c r="V96" s="174">
        <f t="shared" si="42"/>
        <v>0</v>
      </c>
    </row>
    <row r="97" spans="1:22" ht="30.75">
      <c r="A97" s="11">
        <v>86</v>
      </c>
      <c r="B97" s="1" t="s">
        <v>356</v>
      </c>
      <c r="C97" s="171"/>
      <c r="D97" s="171"/>
      <c r="E97" s="171"/>
      <c r="F97" s="171"/>
      <c r="G97" s="172"/>
      <c r="H97" s="172"/>
      <c r="I97" s="174">
        <f>I98+I99+I100+I101</f>
        <v>136598.99</v>
      </c>
      <c r="J97" s="174">
        <f aca="true" t="shared" si="43" ref="J97:P97">SUM(J98:J101)</f>
        <v>0</v>
      </c>
      <c r="K97" s="174">
        <f t="shared" si="43"/>
        <v>0</v>
      </c>
      <c r="L97" s="179">
        <f t="shared" si="43"/>
        <v>0</v>
      </c>
      <c r="M97" s="174">
        <f t="shared" si="43"/>
        <v>0</v>
      </c>
      <c r="N97" s="174">
        <f t="shared" si="43"/>
        <v>0</v>
      </c>
      <c r="O97" s="174">
        <f t="shared" si="43"/>
        <v>9172.95</v>
      </c>
      <c r="P97" s="174">
        <f t="shared" si="43"/>
        <v>63953.93</v>
      </c>
      <c r="Q97" s="174">
        <f aca="true" t="shared" si="44" ref="Q97:V97">SUM(Q98:Q101)</f>
        <v>63472.11</v>
      </c>
      <c r="R97" s="174">
        <f t="shared" si="44"/>
        <v>0</v>
      </c>
      <c r="S97" s="174">
        <f t="shared" si="44"/>
        <v>0</v>
      </c>
      <c r="T97" s="174">
        <f t="shared" si="44"/>
        <v>0</v>
      </c>
      <c r="U97" s="174">
        <f t="shared" si="44"/>
        <v>0</v>
      </c>
      <c r="V97" s="174">
        <f t="shared" si="44"/>
        <v>0</v>
      </c>
    </row>
    <row r="98" spans="1:22" ht="15">
      <c r="A98" s="11">
        <v>87</v>
      </c>
      <c r="B98" s="1" t="s">
        <v>3</v>
      </c>
      <c r="C98" s="171"/>
      <c r="D98" s="171"/>
      <c r="E98" s="171"/>
      <c r="F98" s="171"/>
      <c r="G98" s="172"/>
      <c r="H98" s="172"/>
      <c r="I98" s="174">
        <f>J98+K98+L98+M98+N98+O98+P98+Q98+R98+S98+T98+U98+V98</f>
        <v>15960.489999999998</v>
      </c>
      <c r="J98" s="174"/>
      <c r="K98" s="174"/>
      <c r="L98" s="179"/>
      <c r="M98" s="174"/>
      <c r="N98" s="174"/>
      <c r="O98" s="174">
        <f>6000.29+172.66</f>
        <v>6172.95</v>
      </c>
      <c r="P98" s="174">
        <v>3953.93</v>
      </c>
      <c r="Q98" s="174">
        <v>5833.61</v>
      </c>
      <c r="R98" s="174"/>
      <c r="S98" s="174"/>
      <c r="T98" s="174"/>
      <c r="U98" s="174"/>
      <c r="V98" s="174"/>
    </row>
    <row r="99" spans="1:22" ht="15">
      <c r="A99" s="11">
        <v>88</v>
      </c>
      <c r="B99" s="1" t="s">
        <v>1</v>
      </c>
      <c r="C99" s="171"/>
      <c r="D99" s="171"/>
      <c r="E99" s="171"/>
      <c r="F99" s="171"/>
      <c r="G99" s="172"/>
      <c r="H99" s="172"/>
      <c r="I99" s="174">
        <f>J99+K99+L99+M99+N99+O99+P99+Q99+R99+S99+T99+U99+V99</f>
        <v>0</v>
      </c>
      <c r="J99" s="174"/>
      <c r="K99" s="174"/>
      <c r="L99" s="179"/>
      <c r="M99" s="174"/>
      <c r="N99" s="174"/>
      <c r="O99" s="174"/>
      <c r="P99" s="176"/>
      <c r="Q99" s="176"/>
      <c r="R99" s="176"/>
      <c r="S99" s="176"/>
      <c r="T99" s="176"/>
      <c r="U99" s="176"/>
      <c r="V99" s="176"/>
    </row>
    <row r="100" spans="1:22" ht="15">
      <c r="A100" s="11">
        <v>89</v>
      </c>
      <c r="B100" s="1" t="s">
        <v>2</v>
      </c>
      <c r="C100" s="171"/>
      <c r="D100" s="171"/>
      <c r="E100" s="171"/>
      <c r="F100" s="171"/>
      <c r="G100" s="172"/>
      <c r="H100" s="172"/>
      <c r="I100" s="174">
        <f>J100+K100+L100+M100+N100+O100+P100+Q100+R100+S100+T100+U100+V100</f>
        <v>120638.5</v>
      </c>
      <c r="J100" s="174"/>
      <c r="K100" s="174"/>
      <c r="L100" s="179"/>
      <c r="M100" s="174"/>
      <c r="N100" s="174"/>
      <c r="O100" s="174">
        <v>3000</v>
      </c>
      <c r="P100" s="174">
        <v>60000</v>
      </c>
      <c r="Q100" s="233">
        <v>57638.5</v>
      </c>
      <c r="R100" s="174"/>
      <c r="S100" s="174"/>
      <c r="T100" s="174"/>
      <c r="U100" s="174"/>
      <c r="V100" s="174"/>
    </row>
    <row r="101" spans="1:22" ht="15">
      <c r="A101" s="11">
        <v>90</v>
      </c>
      <c r="B101" s="1" t="s">
        <v>4</v>
      </c>
      <c r="C101" s="171"/>
      <c r="D101" s="171"/>
      <c r="E101" s="171"/>
      <c r="F101" s="171"/>
      <c r="G101" s="172"/>
      <c r="H101" s="172"/>
      <c r="I101" s="174">
        <f>J101+K101+L101+M101+N101+O101+P101+Q101+R101+S101+T101+U101+V101</f>
        <v>0</v>
      </c>
      <c r="J101" s="174"/>
      <c r="K101" s="174"/>
      <c r="L101" s="179"/>
      <c r="M101" s="174"/>
      <c r="N101" s="174"/>
      <c r="O101" s="233"/>
      <c r="P101" s="233"/>
      <c r="Q101" s="233"/>
      <c r="R101" s="176"/>
      <c r="S101" s="176"/>
      <c r="T101" s="176"/>
      <c r="U101" s="176"/>
      <c r="V101" s="176"/>
    </row>
    <row r="102" spans="1:22" ht="171.75">
      <c r="A102" s="11">
        <v>91</v>
      </c>
      <c r="B102" s="1" t="s">
        <v>377</v>
      </c>
      <c r="C102" s="171" t="s">
        <v>378</v>
      </c>
      <c r="D102" s="171"/>
      <c r="E102" s="174"/>
      <c r="F102" s="174"/>
      <c r="G102" s="172">
        <v>2021</v>
      </c>
      <c r="H102" s="172"/>
      <c r="I102" s="174">
        <f>I103</f>
        <v>7084.762</v>
      </c>
      <c r="J102" s="174">
        <f aca="true" t="shared" si="45" ref="J102:V102">J103</f>
        <v>0</v>
      </c>
      <c r="K102" s="174">
        <f t="shared" si="45"/>
        <v>0</v>
      </c>
      <c r="L102" s="179">
        <f t="shared" si="45"/>
        <v>0</v>
      </c>
      <c r="M102" s="174">
        <f t="shared" si="45"/>
        <v>0</v>
      </c>
      <c r="N102" s="174">
        <f t="shared" si="45"/>
        <v>0</v>
      </c>
      <c r="O102" s="174">
        <f t="shared" si="45"/>
        <v>0</v>
      </c>
      <c r="P102" s="174">
        <f t="shared" si="45"/>
        <v>7084.762</v>
      </c>
      <c r="Q102" s="174">
        <f>Q103</f>
        <v>0</v>
      </c>
      <c r="R102" s="174">
        <f t="shared" si="45"/>
        <v>0</v>
      </c>
      <c r="S102" s="174">
        <f t="shared" si="45"/>
        <v>0</v>
      </c>
      <c r="T102" s="174">
        <f t="shared" si="45"/>
        <v>0</v>
      </c>
      <c r="U102" s="174">
        <f t="shared" si="45"/>
        <v>0</v>
      </c>
      <c r="V102" s="174">
        <f t="shared" si="45"/>
        <v>0</v>
      </c>
    </row>
    <row r="103" spans="1:22" ht="30.75">
      <c r="A103" s="11">
        <v>92</v>
      </c>
      <c r="B103" s="1" t="s">
        <v>379</v>
      </c>
      <c r="C103" s="171"/>
      <c r="D103" s="171"/>
      <c r="E103" s="171"/>
      <c r="F103" s="171"/>
      <c r="G103" s="172"/>
      <c r="H103" s="172"/>
      <c r="I103" s="174">
        <f>I104+I105+I106+I107</f>
        <v>7084.762</v>
      </c>
      <c r="J103" s="174">
        <f aca="true" t="shared" si="46" ref="J103:P103">SUM(J104:J107)</f>
        <v>0</v>
      </c>
      <c r="K103" s="174">
        <f t="shared" si="46"/>
        <v>0</v>
      </c>
      <c r="L103" s="179">
        <f t="shared" si="46"/>
        <v>0</v>
      </c>
      <c r="M103" s="174">
        <f t="shared" si="46"/>
        <v>0</v>
      </c>
      <c r="N103" s="174">
        <f t="shared" si="46"/>
        <v>0</v>
      </c>
      <c r="O103" s="174">
        <f t="shared" si="46"/>
        <v>0</v>
      </c>
      <c r="P103" s="174">
        <f t="shared" si="46"/>
        <v>7084.762</v>
      </c>
      <c r="Q103" s="174">
        <f aca="true" t="shared" si="47" ref="Q103:V103">SUM(Q104:Q107)</f>
        <v>0</v>
      </c>
      <c r="R103" s="174">
        <f t="shared" si="47"/>
        <v>0</v>
      </c>
      <c r="S103" s="174">
        <f t="shared" si="47"/>
        <v>0</v>
      </c>
      <c r="T103" s="174">
        <f t="shared" si="47"/>
        <v>0</v>
      </c>
      <c r="U103" s="174">
        <f t="shared" si="47"/>
        <v>0</v>
      </c>
      <c r="V103" s="174">
        <f t="shared" si="47"/>
        <v>0</v>
      </c>
    </row>
    <row r="104" spans="1:22" ht="15">
      <c r="A104" s="11">
        <v>93</v>
      </c>
      <c r="B104" s="1" t="s">
        <v>3</v>
      </c>
      <c r="C104" s="171"/>
      <c r="D104" s="171"/>
      <c r="E104" s="171"/>
      <c r="F104" s="171"/>
      <c r="G104" s="172"/>
      <c r="H104" s="172"/>
      <c r="I104" s="174">
        <f>J104+K104+L104+M104+N104+O104+P104+Q104+R104+S104+T104+U104+V104</f>
        <v>7084.762</v>
      </c>
      <c r="J104" s="174"/>
      <c r="K104" s="174"/>
      <c r="L104" s="179"/>
      <c r="M104" s="174"/>
      <c r="N104" s="174"/>
      <c r="O104" s="174"/>
      <c r="P104" s="174">
        <v>7084.762</v>
      </c>
      <c r="Q104" s="174"/>
      <c r="R104" s="174"/>
      <c r="S104" s="174"/>
      <c r="T104" s="174"/>
      <c r="U104" s="174"/>
      <c r="V104" s="174"/>
    </row>
    <row r="105" spans="1:22" ht="15">
      <c r="A105" s="11">
        <v>94</v>
      </c>
      <c r="B105" s="1" t="s">
        <v>1</v>
      </c>
      <c r="C105" s="171"/>
      <c r="D105" s="171"/>
      <c r="E105" s="171"/>
      <c r="F105" s="171"/>
      <c r="G105" s="172"/>
      <c r="H105" s="172"/>
      <c r="I105" s="174">
        <f>J105+K105+L105+M105+N105+O105+P105+Q105+R105+S105+T105+U105+V105</f>
        <v>0</v>
      </c>
      <c r="J105" s="174"/>
      <c r="K105" s="174"/>
      <c r="L105" s="179"/>
      <c r="M105" s="174"/>
      <c r="N105" s="174"/>
      <c r="O105" s="174"/>
      <c r="P105" s="176"/>
      <c r="Q105" s="176"/>
      <c r="R105" s="176"/>
      <c r="S105" s="176"/>
      <c r="T105" s="176"/>
      <c r="U105" s="176"/>
      <c r="V105" s="176"/>
    </row>
    <row r="106" spans="1:22" ht="15">
      <c r="A106" s="11">
        <v>95</v>
      </c>
      <c r="B106" s="1" t="s">
        <v>2</v>
      </c>
      <c r="C106" s="171"/>
      <c r="D106" s="171"/>
      <c r="E106" s="171"/>
      <c r="F106" s="171"/>
      <c r="G106" s="172"/>
      <c r="H106" s="172"/>
      <c r="I106" s="174">
        <f>J106+K106+L106+M106+N106+O106+P106+Q106+R106+S106+T106+U106+V106</f>
        <v>0</v>
      </c>
      <c r="J106" s="174"/>
      <c r="K106" s="174"/>
      <c r="L106" s="179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</row>
    <row r="107" spans="1:22" ht="15">
      <c r="A107" s="11">
        <v>96</v>
      </c>
      <c r="B107" s="1" t="s">
        <v>4</v>
      </c>
      <c r="C107" s="171"/>
      <c r="D107" s="171"/>
      <c r="E107" s="171"/>
      <c r="F107" s="171"/>
      <c r="G107" s="172"/>
      <c r="H107" s="172"/>
      <c r="I107" s="174">
        <f>J107+K107+L107+M107+N107+O107+P107+Q107+R107+S107+T107+U107+V107</f>
        <v>0</v>
      </c>
      <c r="J107" s="174"/>
      <c r="K107" s="174"/>
      <c r="L107" s="179"/>
      <c r="M107" s="174"/>
      <c r="N107" s="174"/>
      <c r="O107" s="174"/>
      <c r="P107" s="176"/>
      <c r="Q107" s="176"/>
      <c r="R107" s="176"/>
      <c r="S107" s="176"/>
      <c r="T107" s="176"/>
      <c r="U107" s="176"/>
      <c r="V107" s="176"/>
    </row>
    <row r="108" spans="1:22" ht="62.25">
      <c r="A108" s="11">
        <v>97</v>
      </c>
      <c r="B108" s="1" t="s">
        <v>382</v>
      </c>
      <c r="C108" s="171" t="s">
        <v>383</v>
      </c>
      <c r="D108" s="171"/>
      <c r="E108" s="174"/>
      <c r="F108" s="174"/>
      <c r="G108" s="172">
        <v>2021</v>
      </c>
      <c r="H108" s="172"/>
      <c r="I108" s="174">
        <f>I109</f>
        <v>125128.581</v>
      </c>
      <c r="J108" s="174">
        <f aca="true" t="shared" si="48" ref="J108:V108">J109</f>
        <v>0</v>
      </c>
      <c r="K108" s="174">
        <f t="shared" si="48"/>
        <v>0</v>
      </c>
      <c r="L108" s="179">
        <f t="shared" si="48"/>
        <v>0</v>
      </c>
      <c r="M108" s="174">
        <f t="shared" si="48"/>
        <v>0</v>
      </c>
      <c r="N108" s="174">
        <f t="shared" si="48"/>
        <v>0</v>
      </c>
      <c r="O108" s="174">
        <f t="shared" si="48"/>
        <v>0</v>
      </c>
      <c r="P108" s="174">
        <f t="shared" si="48"/>
        <v>4454.561</v>
      </c>
      <c r="Q108" s="174">
        <f t="shared" si="48"/>
        <v>0</v>
      </c>
      <c r="R108" s="174">
        <f t="shared" si="48"/>
        <v>120674.02</v>
      </c>
      <c r="S108" s="174">
        <f t="shared" si="48"/>
        <v>0</v>
      </c>
      <c r="T108" s="174">
        <f t="shared" si="48"/>
        <v>0</v>
      </c>
      <c r="U108" s="174">
        <f t="shared" si="48"/>
        <v>0</v>
      </c>
      <c r="V108" s="174">
        <f t="shared" si="48"/>
        <v>0</v>
      </c>
    </row>
    <row r="109" spans="1:22" ht="30.75">
      <c r="A109" s="11">
        <v>98</v>
      </c>
      <c r="B109" s="1" t="s">
        <v>380</v>
      </c>
      <c r="C109" s="171"/>
      <c r="D109" s="171"/>
      <c r="E109" s="171"/>
      <c r="F109" s="171"/>
      <c r="G109" s="172"/>
      <c r="H109" s="172"/>
      <c r="I109" s="174">
        <f>I110+I111+I112+I113</f>
        <v>125128.581</v>
      </c>
      <c r="J109" s="174">
        <f aca="true" t="shared" si="49" ref="J109:P109">SUM(J110:J113)</f>
        <v>0</v>
      </c>
      <c r="K109" s="174">
        <f t="shared" si="49"/>
        <v>0</v>
      </c>
      <c r="L109" s="179">
        <f t="shared" si="49"/>
        <v>0</v>
      </c>
      <c r="M109" s="174">
        <f t="shared" si="49"/>
        <v>0</v>
      </c>
      <c r="N109" s="174">
        <f t="shared" si="49"/>
        <v>0</v>
      </c>
      <c r="O109" s="174">
        <f t="shared" si="49"/>
        <v>0</v>
      </c>
      <c r="P109" s="174">
        <f t="shared" si="49"/>
        <v>4454.561</v>
      </c>
      <c r="Q109" s="174">
        <f aca="true" t="shared" si="50" ref="Q109:V109">SUM(Q110:Q113)</f>
        <v>0</v>
      </c>
      <c r="R109" s="174">
        <f t="shared" si="50"/>
        <v>120674.02</v>
      </c>
      <c r="S109" s="174">
        <f t="shared" si="50"/>
        <v>0</v>
      </c>
      <c r="T109" s="174">
        <f t="shared" si="50"/>
        <v>0</v>
      </c>
      <c r="U109" s="174">
        <f t="shared" si="50"/>
        <v>0</v>
      </c>
      <c r="V109" s="174">
        <f t="shared" si="50"/>
        <v>0</v>
      </c>
    </row>
    <row r="110" spans="1:22" ht="15">
      <c r="A110" s="11">
        <v>99</v>
      </c>
      <c r="B110" s="1" t="s">
        <v>3</v>
      </c>
      <c r="C110" s="171"/>
      <c r="D110" s="171"/>
      <c r="E110" s="171"/>
      <c r="F110" s="171"/>
      <c r="G110" s="172"/>
      <c r="H110" s="172"/>
      <c r="I110" s="174">
        <f>J110+K110+L110+M110+N110+O110+P110+Q110+R110+S110+T110+U110+V110</f>
        <v>4454.561</v>
      </c>
      <c r="J110" s="174"/>
      <c r="K110" s="174"/>
      <c r="L110" s="179"/>
      <c r="M110" s="174"/>
      <c r="N110" s="174"/>
      <c r="O110" s="174"/>
      <c r="P110" s="174">
        <v>4454.561</v>
      </c>
      <c r="Q110" s="174"/>
      <c r="R110" s="174"/>
      <c r="S110" s="174"/>
      <c r="T110" s="174"/>
      <c r="U110" s="174"/>
      <c r="V110" s="174"/>
    </row>
    <row r="111" spans="1:22" ht="15">
      <c r="A111" s="11">
        <v>100</v>
      </c>
      <c r="B111" s="1" t="s">
        <v>1</v>
      </c>
      <c r="C111" s="171"/>
      <c r="D111" s="171"/>
      <c r="E111" s="171"/>
      <c r="F111" s="171"/>
      <c r="G111" s="172"/>
      <c r="H111" s="172"/>
      <c r="I111" s="174">
        <f>J111+K111+L111+M111+N111+O111+P111+Q111+R111+S111+T111+U111+V111</f>
        <v>0</v>
      </c>
      <c r="J111" s="174"/>
      <c r="K111" s="174"/>
      <c r="L111" s="179"/>
      <c r="M111" s="174"/>
      <c r="N111" s="174"/>
      <c r="O111" s="174"/>
      <c r="P111" s="176"/>
      <c r="Q111" s="176"/>
      <c r="R111" s="176"/>
      <c r="S111" s="176"/>
      <c r="T111" s="176"/>
      <c r="U111" s="176"/>
      <c r="V111" s="176"/>
    </row>
    <row r="112" spans="1:22" ht="15">
      <c r="A112" s="11">
        <v>101</v>
      </c>
      <c r="B112" s="1" t="s">
        <v>2</v>
      </c>
      <c r="C112" s="171"/>
      <c r="D112" s="171"/>
      <c r="E112" s="171"/>
      <c r="F112" s="171"/>
      <c r="G112" s="172"/>
      <c r="H112" s="172"/>
      <c r="I112" s="174">
        <f>J112+K112+L112+M112+N112+O112+P112+Q112+R112+S112+T112+U112+V112</f>
        <v>0</v>
      </c>
      <c r="J112" s="174"/>
      <c r="K112" s="174"/>
      <c r="L112" s="179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</row>
    <row r="113" spans="1:22" ht="15">
      <c r="A113" s="11">
        <v>102</v>
      </c>
      <c r="B113" s="1" t="s">
        <v>4</v>
      </c>
      <c r="C113" s="171"/>
      <c r="D113" s="171"/>
      <c r="E113" s="171"/>
      <c r="F113" s="171"/>
      <c r="G113" s="172"/>
      <c r="H113" s="172"/>
      <c r="I113" s="174">
        <f>J113+K113+L113+M113+N113+O113+P113+Q113+R113+S113+T113+U113+V113</f>
        <v>120674.02</v>
      </c>
      <c r="J113" s="174"/>
      <c r="K113" s="174"/>
      <c r="L113" s="179"/>
      <c r="M113" s="174"/>
      <c r="N113" s="174"/>
      <c r="O113" s="174"/>
      <c r="P113" s="176"/>
      <c r="Q113" s="176"/>
      <c r="R113" s="174">
        <v>120674.02</v>
      </c>
      <c r="S113" s="176"/>
      <c r="T113" s="176"/>
      <c r="U113" s="176"/>
      <c r="V113" s="176"/>
    </row>
    <row r="114" spans="1:22" ht="62.25">
      <c r="A114" s="11">
        <v>103</v>
      </c>
      <c r="B114" s="1" t="s">
        <v>417</v>
      </c>
      <c r="C114" s="171" t="s">
        <v>383</v>
      </c>
      <c r="D114" s="171"/>
      <c r="E114" s="174"/>
      <c r="F114" s="174"/>
      <c r="G114" s="172"/>
      <c r="H114" s="172"/>
      <c r="I114" s="174">
        <f>I115</f>
        <v>0</v>
      </c>
      <c r="J114" s="174">
        <f aca="true" t="shared" si="51" ref="J114:V114">J115</f>
        <v>0</v>
      </c>
      <c r="K114" s="174">
        <f t="shared" si="51"/>
        <v>0</v>
      </c>
      <c r="L114" s="179">
        <f t="shared" si="51"/>
        <v>0</v>
      </c>
      <c r="M114" s="174">
        <f t="shared" si="51"/>
        <v>0</v>
      </c>
      <c r="N114" s="174">
        <f t="shared" si="51"/>
        <v>0</v>
      </c>
      <c r="O114" s="174">
        <f t="shared" si="51"/>
        <v>0</v>
      </c>
      <c r="P114" s="174">
        <f t="shared" si="51"/>
        <v>0</v>
      </c>
      <c r="Q114" s="174">
        <f t="shared" si="51"/>
        <v>0</v>
      </c>
      <c r="R114" s="174">
        <f t="shared" si="51"/>
        <v>0</v>
      </c>
      <c r="S114" s="174">
        <f t="shared" si="51"/>
        <v>0</v>
      </c>
      <c r="T114" s="174">
        <f t="shared" si="51"/>
        <v>0</v>
      </c>
      <c r="U114" s="174">
        <f t="shared" si="51"/>
        <v>0</v>
      </c>
      <c r="V114" s="174">
        <f t="shared" si="51"/>
        <v>0</v>
      </c>
    </row>
    <row r="115" spans="1:22" ht="30.75">
      <c r="A115" s="11">
        <v>104</v>
      </c>
      <c r="B115" s="1" t="s">
        <v>380</v>
      </c>
      <c r="C115" s="171"/>
      <c r="D115" s="171"/>
      <c r="E115" s="171"/>
      <c r="F115" s="171"/>
      <c r="G115" s="172"/>
      <c r="H115" s="172"/>
      <c r="I115" s="174">
        <f>I116+I117+I118+I119</f>
        <v>0</v>
      </c>
      <c r="J115" s="174">
        <f aca="true" t="shared" si="52" ref="J115:P115">SUM(J116:J119)</f>
        <v>0</v>
      </c>
      <c r="K115" s="174">
        <f t="shared" si="52"/>
        <v>0</v>
      </c>
      <c r="L115" s="179">
        <f t="shared" si="52"/>
        <v>0</v>
      </c>
      <c r="M115" s="174">
        <f t="shared" si="52"/>
        <v>0</v>
      </c>
      <c r="N115" s="174">
        <f t="shared" si="52"/>
        <v>0</v>
      </c>
      <c r="O115" s="174">
        <f t="shared" si="52"/>
        <v>0</v>
      </c>
      <c r="P115" s="174">
        <f t="shared" si="52"/>
        <v>0</v>
      </c>
      <c r="Q115" s="174">
        <f aca="true" t="shared" si="53" ref="Q115:V115">SUM(Q116:Q119)</f>
        <v>0</v>
      </c>
      <c r="R115" s="174">
        <f t="shared" si="53"/>
        <v>0</v>
      </c>
      <c r="S115" s="174">
        <f t="shared" si="53"/>
        <v>0</v>
      </c>
      <c r="T115" s="174">
        <f t="shared" si="53"/>
        <v>0</v>
      </c>
      <c r="U115" s="174">
        <f t="shared" si="53"/>
        <v>0</v>
      </c>
      <c r="V115" s="174">
        <f t="shared" si="53"/>
        <v>0</v>
      </c>
    </row>
    <row r="116" spans="1:22" ht="15">
      <c r="A116" s="11">
        <v>105</v>
      </c>
      <c r="B116" s="1" t="s">
        <v>3</v>
      </c>
      <c r="C116" s="171"/>
      <c r="D116" s="171"/>
      <c r="E116" s="171"/>
      <c r="F116" s="171"/>
      <c r="G116" s="172"/>
      <c r="H116" s="172"/>
      <c r="I116" s="174">
        <f>J116+K116+L116+M116+N116+O116+P116+Q116+R116+S116+T116+U116+V116</f>
        <v>0</v>
      </c>
      <c r="J116" s="174"/>
      <c r="K116" s="174"/>
      <c r="L116" s="179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</row>
    <row r="117" spans="1:22" ht="15">
      <c r="A117" s="11">
        <v>106</v>
      </c>
      <c r="B117" s="1" t="s">
        <v>1</v>
      </c>
      <c r="C117" s="171"/>
      <c r="D117" s="171"/>
      <c r="E117" s="171"/>
      <c r="F117" s="171"/>
      <c r="G117" s="172"/>
      <c r="H117" s="172"/>
      <c r="I117" s="174">
        <f>J117+K117+L117+M117+N117+O117+P117+Q117+R117+S117+T117+U117+V117</f>
        <v>0</v>
      </c>
      <c r="J117" s="174"/>
      <c r="K117" s="174"/>
      <c r="L117" s="179"/>
      <c r="M117" s="174"/>
      <c r="N117" s="174"/>
      <c r="O117" s="174"/>
      <c r="P117" s="176"/>
      <c r="Q117" s="176"/>
      <c r="R117" s="176"/>
      <c r="S117" s="176"/>
      <c r="T117" s="176"/>
      <c r="U117" s="176"/>
      <c r="V117" s="176"/>
    </row>
    <row r="118" spans="1:22" ht="15">
      <c r="A118" s="11">
        <v>107</v>
      </c>
      <c r="B118" s="1" t="s">
        <v>2</v>
      </c>
      <c r="C118" s="171"/>
      <c r="D118" s="171"/>
      <c r="E118" s="171"/>
      <c r="F118" s="171"/>
      <c r="G118" s="172"/>
      <c r="H118" s="172"/>
      <c r="I118" s="174">
        <f>J118+K118+L118+M118+N118+O118+P118+Q118+R118+S118+T118+U118+V118</f>
        <v>0</v>
      </c>
      <c r="J118" s="174"/>
      <c r="K118" s="174"/>
      <c r="L118" s="179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</row>
    <row r="119" spans="1:22" ht="15">
      <c r="A119" s="11">
        <v>108</v>
      </c>
      <c r="B119" s="1" t="s">
        <v>4</v>
      </c>
      <c r="C119" s="171"/>
      <c r="D119" s="171"/>
      <c r="E119" s="171"/>
      <c r="F119" s="171"/>
      <c r="G119" s="172"/>
      <c r="H119" s="172"/>
      <c r="I119" s="174">
        <f>J119+K119+L119+M119+N119+O119+P119+Q119+R119+S119+T119+U119+V119</f>
        <v>0</v>
      </c>
      <c r="J119" s="174"/>
      <c r="K119" s="174"/>
      <c r="L119" s="179"/>
      <c r="M119" s="174"/>
      <c r="N119" s="174"/>
      <c r="O119" s="174"/>
      <c r="P119" s="176"/>
      <c r="Q119" s="176"/>
      <c r="R119" s="176"/>
      <c r="S119" s="176"/>
      <c r="T119" s="176"/>
      <c r="U119" s="176"/>
      <c r="V119" s="176"/>
    </row>
    <row r="120" spans="1:22" ht="178.5" customHeight="1">
      <c r="A120" s="11">
        <v>109</v>
      </c>
      <c r="B120" s="1" t="s">
        <v>433</v>
      </c>
      <c r="C120" s="171" t="s">
        <v>383</v>
      </c>
      <c r="D120" s="171"/>
      <c r="E120" s="174"/>
      <c r="F120" s="174"/>
      <c r="G120" s="172">
        <v>2022</v>
      </c>
      <c r="H120" s="172"/>
      <c r="I120" s="174">
        <f>I121</f>
        <v>2000</v>
      </c>
      <c r="J120" s="174">
        <f aca="true" t="shared" si="54" ref="J120:V120">J121</f>
        <v>0</v>
      </c>
      <c r="K120" s="174">
        <f t="shared" si="54"/>
        <v>0</v>
      </c>
      <c r="L120" s="179">
        <f t="shared" si="54"/>
        <v>0</v>
      </c>
      <c r="M120" s="174">
        <f t="shared" si="54"/>
        <v>0</v>
      </c>
      <c r="N120" s="174">
        <f t="shared" si="54"/>
        <v>0</v>
      </c>
      <c r="O120" s="174">
        <f t="shared" si="54"/>
        <v>0</v>
      </c>
      <c r="P120" s="174">
        <f t="shared" si="54"/>
        <v>0</v>
      </c>
      <c r="Q120" s="174">
        <f t="shared" si="54"/>
        <v>2000</v>
      </c>
      <c r="R120" s="174">
        <f t="shared" si="54"/>
        <v>0</v>
      </c>
      <c r="S120" s="174">
        <f t="shared" si="54"/>
        <v>0</v>
      </c>
      <c r="T120" s="174">
        <f t="shared" si="54"/>
        <v>0</v>
      </c>
      <c r="U120" s="174">
        <f t="shared" si="54"/>
        <v>0</v>
      </c>
      <c r="V120" s="174">
        <f t="shared" si="54"/>
        <v>0</v>
      </c>
    </row>
    <row r="121" spans="1:22" ht="30.75">
      <c r="A121" s="11">
        <v>110</v>
      </c>
      <c r="B121" s="1" t="s">
        <v>380</v>
      </c>
      <c r="C121" s="171"/>
      <c r="D121" s="171"/>
      <c r="E121" s="171"/>
      <c r="F121" s="171"/>
      <c r="G121" s="172"/>
      <c r="H121" s="172"/>
      <c r="I121" s="174">
        <f>I122+I123+I124+I125</f>
        <v>2000</v>
      </c>
      <c r="J121" s="174">
        <f aca="true" t="shared" si="55" ref="J121:P121">SUM(J122:J125)</f>
        <v>0</v>
      </c>
      <c r="K121" s="174">
        <f t="shared" si="55"/>
        <v>0</v>
      </c>
      <c r="L121" s="179">
        <f t="shared" si="55"/>
        <v>0</v>
      </c>
      <c r="M121" s="174">
        <f t="shared" si="55"/>
        <v>0</v>
      </c>
      <c r="N121" s="174">
        <f t="shared" si="55"/>
        <v>0</v>
      </c>
      <c r="O121" s="174">
        <f t="shared" si="55"/>
        <v>0</v>
      </c>
      <c r="P121" s="174">
        <f t="shared" si="55"/>
        <v>0</v>
      </c>
      <c r="Q121" s="174">
        <f aca="true" t="shared" si="56" ref="Q121:V121">SUM(Q122:Q125)</f>
        <v>2000</v>
      </c>
      <c r="R121" s="174">
        <f t="shared" si="56"/>
        <v>0</v>
      </c>
      <c r="S121" s="174">
        <f t="shared" si="56"/>
        <v>0</v>
      </c>
      <c r="T121" s="174">
        <f t="shared" si="56"/>
        <v>0</v>
      </c>
      <c r="U121" s="174">
        <f t="shared" si="56"/>
        <v>0</v>
      </c>
      <c r="V121" s="174">
        <f t="shared" si="56"/>
        <v>0</v>
      </c>
    </row>
    <row r="122" spans="1:22" ht="15">
      <c r="A122" s="11">
        <v>111</v>
      </c>
      <c r="B122" s="1" t="s">
        <v>3</v>
      </c>
      <c r="C122" s="171"/>
      <c r="D122" s="171"/>
      <c r="E122" s="171"/>
      <c r="F122" s="171"/>
      <c r="G122" s="172"/>
      <c r="H122" s="172"/>
      <c r="I122" s="174">
        <f>J122+K122+L122+M122+N122+O122+P122+Q122+R122+S122+T122+U122+V122</f>
        <v>2000</v>
      </c>
      <c r="J122" s="174"/>
      <c r="K122" s="174"/>
      <c r="L122" s="179"/>
      <c r="M122" s="174"/>
      <c r="N122" s="174"/>
      <c r="O122" s="174"/>
      <c r="P122" s="174"/>
      <c r="Q122" s="174">
        <v>2000</v>
      </c>
      <c r="R122" s="174"/>
      <c r="S122" s="174"/>
      <c r="T122" s="174"/>
      <c r="U122" s="174"/>
      <c r="V122" s="174"/>
    </row>
    <row r="123" spans="1:22" ht="15">
      <c r="A123" s="11">
        <v>112</v>
      </c>
      <c r="B123" s="1" t="s">
        <v>1</v>
      </c>
      <c r="C123" s="171"/>
      <c r="D123" s="171"/>
      <c r="E123" s="171"/>
      <c r="F123" s="171"/>
      <c r="G123" s="172"/>
      <c r="H123" s="172"/>
      <c r="I123" s="174">
        <f>J123+K123+L123+M123+N123+O123+P123+Q123+R123+S123+T123+U123+V123</f>
        <v>0</v>
      </c>
      <c r="J123" s="174"/>
      <c r="K123" s="174"/>
      <c r="L123" s="179"/>
      <c r="M123" s="174"/>
      <c r="N123" s="174"/>
      <c r="O123" s="174"/>
      <c r="P123" s="176"/>
      <c r="Q123" s="176"/>
      <c r="R123" s="176"/>
      <c r="S123" s="176"/>
      <c r="T123" s="176"/>
      <c r="U123" s="176"/>
      <c r="V123" s="176"/>
    </row>
    <row r="124" spans="1:22" ht="15">
      <c r="A124" s="11">
        <v>113</v>
      </c>
      <c r="B124" s="1" t="s">
        <v>2</v>
      </c>
      <c r="C124" s="171"/>
      <c r="D124" s="171"/>
      <c r="E124" s="171"/>
      <c r="F124" s="171"/>
      <c r="G124" s="172"/>
      <c r="H124" s="172"/>
      <c r="I124" s="174">
        <f>J124+K124+L124+M124+N124+O124+P124+Q124+R124+S124+T124+U124+V124</f>
        <v>0</v>
      </c>
      <c r="J124" s="174"/>
      <c r="K124" s="174"/>
      <c r="L124" s="179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</row>
    <row r="125" spans="1:22" ht="15">
      <c r="A125" s="11">
        <v>114</v>
      </c>
      <c r="B125" s="1" t="s">
        <v>4</v>
      </c>
      <c r="C125" s="171"/>
      <c r="D125" s="171"/>
      <c r="E125" s="171"/>
      <c r="F125" s="171"/>
      <c r="G125" s="172"/>
      <c r="H125" s="172"/>
      <c r="I125" s="174">
        <f>J125+K125+L125+M125+N125+O125+P125+Q125+R125+S125+T125+U125+V125</f>
        <v>0</v>
      </c>
      <c r="J125" s="174"/>
      <c r="K125" s="174"/>
      <c r="L125" s="179"/>
      <c r="M125" s="174"/>
      <c r="N125" s="174"/>
      <c r="O125" s="174"/>
      <c r="P125" s="176"/>
      <c r="Q125" s="176"/>
      <c r="R125" s="176"/>
      <c r="S125" s="176"/>
      <c r="T125" s="176"/>
      <c r="U125" s="176"/>
      <c r="V125" s="176"/>
    </row>
  </sheetData>
  <sheetProtection/>
  <mergeCells count="14">
    <mergeCell ref="H2:O2"/>
    <mergeCell ref="H3:O3"/>
    <mergeCell ref="L4:O4"/>
    <mergeCell ref="A5:O5"/>
    <mergeCell ref="A6:O6"/>
    <mergeCell ref="H1:Q1"/>
    <mergeCell ref="A7:O7"/>
    <mergeCell ref="A9:A10"/>
    <mergeCell ref="B9:B10"/>
    <mergeCell ref="C9:C10"/>
    <mergeCell ref="D9:D10"/>
    <mergeCell ref="E9:F9"/>
    <mergeCell ref="G9:H9"/>
    <mergeCell ref="I9:V9"/>
  </mergeCells>
  <printOptions/>
  <pageMargins left="0.3937007874015748" right="0.1968503937007874" top="0.3937007874015748" bottom="0.1968503937007874" header="0.31496062992125984" footer="0.31496062992125984"/>
  <pageSetup cellComments="atEnd" fitToHeight="10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2014-12-25T03:33:01Z</cp:lastPrinted>
  <dcterms:created xsi:type="dcterms:W3CDTF">2006-09-28T05:33:49Z</dcterms:created>
  <dcterms:modified xsi:type="dcterms:W3CDTF">2022-07-19T07:17:41Z</dcterms:modified>
  <cp:category/>
  <cp:version/>
  <cp:contentType/>
  <cp:contentStatus/>
</cp:coreProperties>
</file>